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108" windowWidth="14808" windowHeight="8016"/>
  </bookViews>
  <sheets>
    <sheet name="Modified by AESO" sheetId="9" r:id="rId1"/>
    <sheet name="For Technical Meeting" sheetId="10" r:id="rId2"/>
    <sheet name="Provided by ATCO Power" sheetId="11" r:id="rId3"/>
  </sheets>
  <definedNames>
    <definedName name="_xlnm.Print_Area" localSheetId="0">'Modified by AESO'!$A$1:$BM$56</definedName>
    <definedName name="_xlnm.Print_Area" localSheetId="2">'Provided by ATCO Power'!$A$1:$BM$55</definedName>
  </definedNames>
  <calcPr calcId="145621"/>
</workbook>
</file>

<file path=xl/calcChain.xml><?xml version="1.0" encoding="utf-8"?>
<calcChain xmlns="http://schemas.openxmlformats.org/spreadsheetml/2006/main">
  <c r="D29" i="10" l="1"/>
  <c r="C29" i="10"/>
  <c r="B29" i="10"/>
  <c r="V24" i="11" l="1"/>
  <c r="R24" i="11"/>
  <c r="R31" i="11" s="1"/>
  <c r="Q24" i="11"/>
  <c r="Q31" i="11" s="1"/>
  <c r="O24" i="11"/>
  <c r="O31" i="11" s="1"/>
  <c r="I24" i="11"/>
  <c r="I31" i="11" s="1"/>
  <c r="AG13" i="11"/>
  <c r="AF13" i="11"/>
  <c r="AE13" i="11"/>
  <c r="AD13" i="11"/>
  <c r="AA13" i="11" s="1"/>
  <c r="AC13" i="11"/>
  <c r="AB13" i="11"/>
  <c r="AA12" i="11"/>
  <c r="H11" i="11"/>
  <c r="H24" i="11" s="1"/>
  <c r="X10" i="11"/>
  <c r="W10" i="11"/>
  <c r="T10" i="11"/>
  <c r="R10" i="11"/>
  <c r="O10" i="11"/>
  <c r="J10" i="11"/>
  <c r="AF16" i="11" s="1"/>
  <c r="F10" i="11"/>
  <c r="Y9" i="11"/>
  <c r="Y10" i="11" s="1"/>
  <c r="X9" i="11"/>
  <c r="W9" i="11"/>
  <c r="V9" i="11"/>
  <c r="V10" i="11" s="1"/>
  <c r="U9" i="11"/>
  <c r="U10" i="11" s="1"/>
  <c r="T9" i="11"/>
  <c r="R9" i="11"/>
  <c r="Q9" i="11"/>
  <c r="Q10" i="11" s="1"/>
  <c r="Q11" i="11" s="1"/>
  <c r="P9" i="11"/>
  <c r="P10" i="11" s="1"/>
  <c r="P11" i="11" s="1"/>
  <c r="P24" i="11" s="1"/>
  <c r="O9" i="11"/>
  <c r="N9" i="11"/>
  <c r="N10" i="11" s="1"/>
  <c r="N11" i="11" s="1"/>
  <c r="N24" i="11" s="1"/>
  <c r="M9" i="11"/>
  <c r="M10" i="11" s="1"/>
  <c r="K9" i="11"/>
  <c r="K10" i="11" s="1"/>
  <c r="AG16" i="11" s="1"/>
  <c r="J9" i="11"/>
  <c r="I9" i="11"/>
  <c r="I10" i="11" s="1"/>
  <c r="H9" i="11"/>
  <c r="H10" i="11" s="1"/>
  <c r="AD16" i="11" s="1"/>
  <c r="G9" i="11"/>
  <c r="G10" i="11" s="1"/>
  <c r="AC16" i="11" s="1"/>
  <c r="F9" i="11"/>
  <c r="E8" i="11"/>
  <c r="L7" i="11"/>
  <c r="O11" i="11" s="1"/>
  <c r="E7" i="11"/>
  <c r="S6" i="11"/>
  <c r="L6" i="11"/>
  <c r="E6" i="11"/>
  <c r="S5" i="11"/>
  <c r="L5" i="11"/>
  <c r="L8" i="11" s="1"/>
  <c r="E5" i="11"/>
  <c r="S8" i="11" l="1"/>
  <c r="P31" i="11"/>
  <c r="AD32" i="11"/>
  <c r="H31" i="11"/>
  <c r="AA14" i="11"/>
  <c r="I11" i="11"/>
  <c r="AE16" i="11"/>
  <c r="N31" i="11"/>
  <c r="Y24" i="11"/>
  <c r="S7" i="11"/>
  <c r="AB16" i="11"/>
  <c r="V31" i="11"/>
  <c r="J11" i="11"/>
  <c r="J24" i="11" s="1"/>
  <c r="F11" i="11"/>
  <c r="K11" i="11"/>
  <c r="K24" i="11" s="1"/>
  <c r="G11" i="11"/>
  <c r="G24" i="11" s="1"/>
  <c r="M11" i="11"/>
  <c r="R11" i="11"/>
  <c r="X24" i="11"/>
  <c r="X31" i="11" l="1"/>
  <c r="AG32" i="11"/>
  <c r="K31" i="11"/>
  <c r="F24" i="11"/>
  <c r="E25" i="11"/>
  <c r="E26" i="11" s="1"/>
  <c r="M24" i="11"/>
  <c r="L25" i="11"/>
  <c r="L26" i="11" s="1"/>
  <c r="J31" i="11"/>
  <c r="AF32" i="11"/>
  <c r="J27" i="11"/>
  <c r="X11" i="11"/>
  <c r="T11" i="11"/>
  <c r="T24" i="11" s="1"/>
  <c r="Y11" i="11"/>
  <c r="W11" i="11"/>
  <c r="W24" i="11" s="1"/>
  <c r="AA15" i="11"/>
  <c r="V11" i="11"/>
  <c r="S25" i="11" s="1"/>
  <c r="S26" i="11" s="1"/>
  <c r="U11" i="11"/>
  <c r="U24" i="11" s="1"/>
  <c r="AC32" i="11"/>
  <c r="G31" i="11"/>
  <c r="Y31" i="11"/>
  <c r="V27" i="11" l="1"/>
  <c r="X27" i="11"/>
  <c r="Y27" i="11"/>
  <c r="M31" i="11"/>
  <c r="M27" i="11"/>
  <c r="AD17" i="11"/>
  <c r="AD18" i="11" s="1"/>
  <c r="AC17" i="11"/>
  <c r="AC18" i="11" s="1"/>
  <c r="AG17" i="11"/>
  <c r="AG18" i="11" s="1"/>
  <c r="AB17" i="11"/>
  <c r="AB18" i="11" s="1"/>
  <c r="AF17" i="11"/>
  <c r="AF18" i="11" s="1"/>
  <c r="AE17" i="11"/>
  <c r="AE18" i="11" s="1"/>
  <c r="I27" i="11"/>
  <c r="AE28" i="11" s="1"/>
  <c r="H27" i="11"/>
  <c r="G27" i="11"/>
  <c r="T31" i="11"/>
  <c r="T27" i="11"/>
  <c r="F31" i="11"/>
  <c r="AB32" i="11"/>
  <c r="F27" i="11"/>
  <c r="K27" i="11"/>
  <c r="U27" i="11"/>
  <c r="U31" i="11"/>
  <c r="W31" i="11"/>
  <c r="W27" i="11"/>
  <c r="AE32" i="11"/>
  <c r="R27" i="11"/>
  <c r="Q27" i="11"/>
  <c r="AF28" i="11" s="1"/>
  <c r="P27" i="11"/>
  <c r="O27" i="11"/>
  <c r="N27" i="11"/>
  <c r="AB28" i="11" l="1"/>
  <c r="E29" i="11"/>
  <c r="BG28" i="11"/>
  <c r="BH28" i="11" s="1"/>
  <c r="AM18" i="11"/>
  <c r="AI18" i="11"/>
  <c r="AQ18" i="11"/>
  <c r="AO18" i="11"/>
  <c r="AK18" i="11"/>
  <c r="BC18" i="11"/>
  <c r="BE18" i="11"/>
  <c r="BA18" i="11"/>
  <c r="AB35" i="11"/>
  <c r="AC28" i="11"/>
  <c r="AA33" i="11"/>
  <c r="AA34" i="11" s="1"/>
  <c r="AE35" i="11"/>
  <c r="AE21" i="11"/>
  <c r="BI18" i="11"/>
  <c r="BG18" i="11"/>
  <c r="AA19" i="11"/>
  <c r="AA20" i="11" s="1"/>
  <c r="AB21" i="11" s="1"/>
  <c r="AG28" i="11"/>
  <c r="BK28" i="11" s="1"/>
  <c r="S29" i="11"/>
  <c r="AD28" i="11"/>
  <c r="BK18" i="11"/>
  <c r="AF21" i="11"/>
  <c r="AU18" i="11"/>
  <c r="AS18" i="11"/>
  <c r="AY18" i="11"/>
  <c r="AW18" i="11"/>
  <c r="L29" i="11"/>
  <c r="AM21" i="11" l="1"/>
  <c r="AN21" i="11" s="1"/>
  <c r="AK21" i="11"/>
  <c r="AL21" i="11" s="1"/>
  <c r="AO21" i="11"/>
  <c r="AP21" i="11" s="1"/>
  <c r="BG21" i="11"/>
  <c r="BH21" i="11" s="1"/>
  <c r="BI21" i="11"/>
  <c r="BJ21" i="11" s="1"/>
  <c r="AY28" i="11"/>
  <c r="AZ28" i="11" s="1"/>
  <c r="AU28" i="11"/>
  <c r="AV28" i="11" s="1"/>
  <c r="AS28" i="11"/>
  <c r="AT28" i="11" s="1"/>
  <c r="AW28" i="11"/>
  <c r="AX28" i="11" s="1"/>
  <c r="BI28" i="11"/>
  <c r="BJ28" i="11" s="1"/>
  <c r="AQ35" i="11"/>
  <c r="AR35" i="11" s="1"/>
  <c r="AM35" i="11"/>
  <c r="AN35" i="11" s="1"/>
  <c r="AK35" i="11"/>
  <c r="AL35" i="11" s="1"/>
  <c r="BC28" i="11"/>
  <c r="BD28" i="11" s="1"/>
  <c r="BA28" i="11"/>
  <c r="BB28" i="11" s="1"/>
  <c r="BE28" i="11"/>
  <c r="BF28" i="11" s="1"/>
  <c r="AD35" i="11"/>
  <c r="AC35" i="11"/>
  <c r="AG35" i="11"/>
  <c r="BI35" i="11" s="1"/>
  <c r="BJ35" i="11" s="1"/>
  <c r="AF35" i="11"/>
  <c r="BK35" i="11" s="1"/>
  <c r="AD21" i="11"/>
  <c r="AC21" i="11"/>
  <c r="AG21" i="11"/>
  <c r="AQ21" i="11" s="1"/>
  <c r="AR21" i="11" s="1"/>
  <c r="AA29" i="11"/>
  <c r="AO28" i="11"/>
  <c r="AP28" i="11" s="1"/>
  <c r="AI28" i="11"/>
  <c r="AJ28" i="11" s="1"/>
  <c r="AM28" i="11"/>
  <c r="AN28" i="11" s="1"/>
  <c r="AQ28" i="11"/>
  <c r="AR28" i="11" s="1"/>
  <c r="AK28" i="11"/>
  <c r="AL28" i="11" s="1"/>
  <c r="AO35" i="11" l="1"/>
  <c r="AP35" i="11" s="1"/>
  <c r="AW21" i="11"/>
  <c r="AX21" i="11" s="1"/>
  <c r="AU21" i="11"/>
  <c r="AV21" i="11" s="1"/>
  <c r="AY21" i="11"/>
  <c r="AZ21" i="11" s="1"/>
  <c r="AS21" i="11"/>
  <c r="AT21" i="11" s="1"/>
  <c r="AY35" i="11"/>
  <c r="AZ35" i="11" s="1"/>
  <c r="AU35" i="11"/>
  <c r="AV35" i="11" s="1"/>
  <c r="AS35" i="11"/>
  <c r="AT35" i="11" s="1"/>
  <c r="AW35" i="11"/>
  <c r="AX35" i="11" s="1"/>
  <c r="AI35" i="11"/>
  <c r="AJ35" i="11" s="1"/>
  <c r="BG35" i="11"/>
  <c r="BH35" i="11" s="1"/>
  <c r="BK21" i="11"/>
  <c r="BC21" i="11"/>
  <c r="BD21" i="11" s="1"/>
  <c r="BA21" i="11"/>
  <c r="BB21" i="11" s="1"/>
  <c r="BE21" i="11"/>
  <c r="BF21" i="11" s="1"/>
  <c r="BC35" i="11"/>
  <c r="BD35" i="11" s="1"/>
  <c r="BA35" i="11"/>
  <c r="BB35" i="11" s="1"/>
  <c r="BE35" i="11"/>
  <c r="BF35" i="11" s="1"/>
  <c r="AA36" i="11"/>
  <c r="AI21" i="11"/>
  <c r="AJ21" i="11" s="1"/>
  <c r="AA22" i="11"/>
  <c r="D28" i="10" l="1"/>
  <c r="C28" i="10"/>
  <c r="B28" i="10"/>
  <c r="D27" i="10"/>
  <c r="D26" i="10"/>
  <c r="D25" i="10"/>
  <c r="D24" i="10"/>
  <c r="D23" i="10"/>
  <c r="D22" i="10"/>
  <c r="D21" i="10"/>
  <c r="D20" i="10"/>
  <c r="D19" i="10"/>
  <c r="D18" i="10"/>
  <c r="D17" i="10"/>
  <c r="D16" i="10"/>
  <c r="D15" i="10"/>
  <c r="D14" i="10"/>
  <c r="D13" i="10"/>
  <c r="C27" i="10"/>
  <c r="C26" i="10"/>
  <c r="C25" i="10"/>
  <c r="C24" i="10"/>
  <c r="C23" i="10"/>
  <c r="C22" i="10"/>
  <c r="C21" i="10"/>
  <c r="C20" i="10"/>
  <c r="C19" i="10"/>
  <c r="C18" i="10"/>
  <c r="C17" i="10"/>
  <c r="C16" i="10"/>
  <c r="C15" i="10"/>
  <c r="C14" i="10"/>
  <c r="C13" i="10"/>
  <c r="B27" i="10"/>
  <c r="B26" i="10"/>
  <c r="B25" i="10"/>
  <c r="B24" i="10"/>
  <c r="B23" i="10"/>
  <c r="B22" i="10"/>
  <c r="B21" i="10"/>
  <c r="B20" i="10"/>
  <c r="B19" i="10"/>
  <c r="B18" i="10"/>
  <c r="B17" i="10"/>
  <c r="B16" i="10"/>
  <c r="B15" i="10"/>
  <c r="B14" i="10"/>
  <c r="B13" i="10"/>
  <c r="D8" i="10" l="1"/>
  <c r="D7" i="10"/>
  <c r="D6" i="10"/>
  <c r="D5" i="10"/>
  <c r="D4" i="10"/>
  <c r="D3" i="10"/>
  <c r="C8" i="10"/>
  <c r="C7" i="10"/>
  <c r="C6" i="10"/>
  <c r="C5" i="10"/>
  <c r="C4" i="10"/>
  <c r="C3" i="10"/>
  <c r="B8" i="10"/>
  <c r="B7" i="10"/>
  <c r="B6" i="10"/>
  <c r="B5" i="10"/>
  <c r="B4" i="10"/>
  <c r="B3" i="10"/>
  <c r="AJ36" i="9"/>
  <c r="AJ29" i="9"/>
  <c r="AJ22" i="9"/>
  <c r="AL22" i="9"/>
  <c r="AL29" i="9"/>
  <c r="AL36" i="9"/>
  <c r="AN36" i="9"/>
  <c r="AN29" i="9"/>
  <c r="AN22" i="9"/>
  <c r="AP22" i="9"/>
  <c r="AP29" i="9"/>
  <c r="AP36" i="9"/>
  <c r="AR36" i="9"/>
  <c r="AR29" i="9"/>
  <c r="AR22" i="9"/>
  <c r="AT22" i="9"/>
  <c r="AT29" i="9"/>
  <c r="AT36" i="9"/>
  <c r="AV36" i="9"/>
  <c r="AV29" i="9"/>
  <c r="AV22" i="9"/>
  <c r="AX22" i="9"/>
  <c r="AX29" i="9"/>
  <c r="AX36" i="9"/>
  <c r="AZ36" i="9"/>
  <c r="AZ29" i="9"/>
  <c r="AZ22" i="9"/>
  <c r="BB22" i="9"/>
  <c r="BB29" i="9"/>
  <c r="BB36" i="9"/>
  <c r="BD36" i="9"/>
  <c r="BD29" i="9"/>
  <c r="BD22" i="9"/>
  <c r="BF22" i="9"/>
  <c r="BF29" i="9"/>
  <c r="BF36" i="9"/>
  <c r="BH36" i="9"/>
  <c r="BH29" i="9"/>
  <c r="BH22" i="9"/>
  <c r="BJ22" i="9"/>
  <c r="BJ29" i="9"/>
  <c r="BJ36" i="9"/>
  <c r="BL36" i="9"/>
  <c r="BL29" i="9"/>
  <c r="BL22" i="9"/>
  <c r="AI19" i="9"/>
  <c r="AK19" i="9"/>
  <c r="AM19" i="9"/>
  <c r="AO19" i="9"/>
  <c r="AQ19" i="9"/>
  <c r="AS19" i="9"/>
  <c r="AU19" i="9"/>
  <c r="AW19" i="9"/>
  <c r="AY19" i="9"/>
  <c r="BK19" i="9"/>
  <c r="BI19" i="9"/>
  <c r="BG19" i="9"/>
  <c r="BE19" i="9"/>
  <c r="BC19" i="9"/>
  <c r="BA19" i="9"/>
  <c r="AG33" i="9" l="1"/>
  <c r="AF33" i="9"/>
  <c r="AE33" i="9"/>
  <c r="AD33" i="9"/>
  <c r="AC33" i="9"/>
  <c r="AB33" i="9"/>
  <c r="AG29" i="9"/>
  <c r="AF29" i="9"/>
  <c r="AE29" i="9"/>
  <c r="AD29" i="9"/>
  <c r="AC29" i="9"/>
  <c r="AB29" i="9"/>
  <c r="AG18" i="9" l="1"/>
  <c r="AF18" i="9"/>
  <c r="AE18" i="9"/>
  <c r="AD18" i="9"/>
  <c r="AC18" i="9"/>
  <c r="AB18" i="9"/>
  <c r="AG17" i="9"/>
  <c r="AF17" i="9"/>
  <c r="AE17" i="9"/>
  <c r="AD17" i="9"/>
  <c r="AC17" i="9"/>
  <c r="AB17" i="9"/>
  <c r="AG16" i="9"/>
  <c r="AF16" i="9"/>
  <c r="AE16" i="9"/>
  <c r="AD16" i="9"/>
  <c r="AC16" i="9"/>
  <c r="AB16" i="9"/>
  <c r="AG14" i="9"/>
  <c r="AF14" i="9"/>
  <c r="AE14" i="9"/>
  <c r="AD14" i="9"/>
  <c r="AC14" i="9"/>
  <c r="AB14" i="9"/>
  <c r="AG4" i="9"/>
  <c r="AF4" i="9"/>
  <c r="AE4" i="9"/>
  <c r="AD4" i="9"/>
  <c r="AC4" i="9"/>
  <c r="AB4" i="9"/>
  <c r="AA4" i="9"/>
  <c r="Y28" i="9"/>
  <c r="U28" i="9"/>
  <c r="T28" i="9"/>
  <c r="R28" i="9"/>
  <c r="Q28" i="9"/>
  <c r="P28" i="9"/>
  <c r="O28" i="9"/>
  <c r="N28" i="9"/>
  <c r="M28" i="9"/>
  <c r="K28" i="9"/>
  <c r="J28" i="9"/>
  <c r="I28" i="9"/>
  <c r="H28" i="9"/>
  <c r="G28" i="9"/>
  <c r="F28" i="9"/>
  <c r="T25" i="9"/>
  <c r="Y25" i="9"/>
  <c r="X25" i="9"/>
  <c r="X28" i="9" s="1"/>
  <c r="W25" i="9"/>
  <c r="W28" i="9" s="1"/>
  <c r="V25" i="9"/>
  <c r="V28" i="9" s="1"/>
  <c r="U25" i="9"/>
  <c r="R25" i="9"/>
  <c r="Q25" i="9"/>
  <c r="P25" i="9"/>
  <c r="O25" i="9"/>
  <c r="N25" i="9"/>
  <c r="M25" i="9"/>
  <c r="K25" i="9"/>
  <c r="J25" i="9"/>
  <c r="H25" i="9"/>
  <c r="G25" i="9"/>
  <c r="F25" i="9"/>
  <c r="I25" i="9"/>
  <c r="V32" i="9" l="1"/>
  <c r="I32" i="9"/>
  <c r="AG13" i="9" l="1"/>
  <c r="AB13" i="9"/>
  <c r="AC13" i="9" l="1"/>
  <c r="AD13" i="9"/>
  <c r="AE13" i="9"/>
  <c r="AF13" i="9"/>
  <c r="AA13" i="9" l="1"/>
  <c r="AA12" i="9" l="1"/>
  <c r="Y9" i="9"/>
  <c r="Y10" i="9" s="1"/>
  <c r="X9" i="9"/>
  <c r="X10" i="9" s="1"/>
  <c r="W9" i="9"/>
  <c r="W10" i="9" s="1"/>
  <c r="V9" i="9"/>
  <c r="V10" i="9" s="1"/>
  <c r="U9" i="9"/>
  <c r="U10" i="9" s="1"/>
  <c r="T9" i="9"/>
  <c r="T10" i="9" s="1"/>
  <c r="R9" i="9"/>
  <c r="R10" i="9" s="1"/>
  <c r="Q9" i="9"/>
  <c r="Q10" i="9" s="1"/>
  <c r="K9" i="9"/>
  <c r="K10" i="9" s="1"/>
  <c r="J9" i="9"/>
  <c r="J10" i="9" s="1"/>
  <c r="I9" i="9"/>
  <c r="I10" i="9" s="1"/>
  <c r="P9" i="9"/>
  <c r="P10" i="9" s="1"/>
  <c r="O9" i="9"/>
  <c r="O10" i="9" s="1"/>
  <c r="G9" i="9"/>
  <c r="G10" i="9" s="1"/>
  <c r="F9" i="9"/>
  <c r="N9" i="9"/>
  <c r="N10" i="9" s="1"/>
  <c r="M9" i="9"/>
  <c r="M10" i="9" s="1"/>
  <c r="S6" i="9"/>
  <c r="L6" i="9"/>
  <c r="S5" i="9"/>
  <c r="L5" i="9"/>
  <c r="E5" i="9"/>
  <c r="H9" i="9"/>
  <c r="H10" i="9" s="1"/>
  <c r="X32" i="9" l="1"/>
  <c r="Y32" i="9"/>
  <c r="L7" i="9"/>
  <c r="O11" i="9" s="1"/>
  <c r="O32" i="9" s="1"/>
  <c r="S7" i="9"/>
  <c r="E6" i="9"/>
  <c r="V11" i="9" l="1"/>
  <c r="L8" i="9"/>
  <c r="S8" i="9"/>
  <c r="Y11" i="9"/>
  <c r="U11" i="9"/>
  <c r="U32" i="9" s="1"/>
  <c r="P11" i="9"/>
  <c r="P32" i="9" s="1"/>
  <c r="R11" i="9"/>
  <c r="N11" i="9"/>
  <c r="N32" i="9" s="1"/>
  <c r="M11" i="9"/>
  <c r="M32" i="9" s="1"/>
  <c r="W11" i="9"/>
  <c r="W32" i="9" s="1"/>
  <c r="T11" i="9"/>
  <c r="T32" i="9" s="1"/>
  <c r="X11" i="9"/>
  <c r="Q11" i="9"/>
  <c r="E7" i="9"/>
  <c r="F10" i="9"/>
  <c r="E8" i="9" l="1"/>
  <c r="AA15" i="9" s="1"/>
  <c r="AA16" i="9"/>
  <c r="R32" i="9"/>
  <c r="Q32" i="9"/>
  <c r="L26" i="9"/>
  <c r="S26" i="9"/>
  <c r="K11" i="9"/>
  <c r="J11" i="9"/>
  <c r="I11" i="9"/>
  <c r="F11" i="9"/>
  <c r="F32" i="9" s="1"/>
  <c r="H11" i="9"/>
  <c r="H32" i="9" s="1"/>
  <c r="G11" i="9"/>
  <c r="G32" i="9" s="1"/>
  <c r="AB19" i="9" l="1"/>
  <c r="AE19" i="9"/>
  <c r="AD19" i="9"/>
  <c r="AC19" i="9"/>
  <c r="AG19" i="9"/>
  <c r="AF19" i="9"/>
  <c r="J32" i="9"/>
  <c r="K32" i="9"/>
  <c r="E26" i="9"/>
  <c r="E27" i="9" s="1"/>
  <c r="L27" i="9"/>
  <c r="AA20" i="9" l="1"/>
  <c r="S27" i="9"/>
  <c r="E30" i="9" l="1"/>
  <c r="L30" i="9"/>
  <c r="AA34" i="9"/>
  <c r="AI29" i="9" l="1"/>
  <c r="S30" i="9"/>
  <c r="BC29" i="9"/>
  <c r="BE29" i="9"/>
  <c r="BA29" i="9"/>
  <c r="AU29" i="9"/>
  <c r="AS29" i="9"/>
  <c r="AW29" i="9"/>
  <c r="AY29" i="9"/>
  <c r="BG29" i="9"/>
  <c r="BI29" i="9"/>
  <c r="BK29" i="9"/>
  <c r="AA21" i="9"/>
  <c r="AA35" i="9"/>
  <c r="AA30" i="9" l="1"/>
  <c r="AO29" i="9"/>
  <c r="AM29" i="9"/>
  <c r="AE22" i="9"/>
  <c r="AB22" i="9"/>
  <c r="AF22" i="9"/>
  <c r="AG22" i="9"/>
  <c r="AC22" i="9"/>
  <c r="AD22" i="9"/>
  <c r="AK29" i="9"/>
  <c r="AQ29" i="9"/>
  <c r="AE36" i="9"/>
  <c r="AF36" i="9"/>
  <c r="AG36" i="9"/>
  <c r="AB36" i="9"/>
  <c r="AC36" i="9"/>
  <c r="AD36" i="9"/>
  <c r="AK22" i="9" l="1"/>
  <c r="AA37" i="9"/>
  <c r="AA23" i="9"/>
  <c r="AM36" i="9"/>
  <c r="AO36" i="9"/>
  <c r="AQ36" i="9"/>
  <c r="AI36" i="9"/>
  <c r="AK36" i="9"/>
  <c r="BK22" i="9"/>
  <c r="AO22" i="9"/>
  <c r="AY22" i="9"/>
  <c r="AU22" i="9"/>
  <c r="AS22" i="9"/>
  <c r="AW22" i="9"/>
  <c r="AI22" i="9"/>
  <c r="BE36" i="9"/>
  <c r="BA36" i="9"/>
  <c r="BC36" i="9"/>
  <c r="BA22" i="9"/>
  <c r="BC22" i="9"/>
  <c r="BE22" i="9"/>
  <c r="BK36" i="9"/>
  <c r="AQ22" i="9"/>
  <c r="AW36" i="9"/>
  <c r="AY36" i="9"/>
  <c r="AU36" i="9"/>
  <c r="AS36" i="9"/>
  <c r="BG22" i="9"/>
  <c r="BI22" i="9"/>
  <c r="BG36" i="9"/>
  <c r="BI36" i="9"/>
  <c r="AM22" i="9"/>
</calcChain>
</file>

<file path=xl/sharedStrings.xml><?xml version="1.0" encoding="utf-8"?>
<sst xmlns="http://schemas.openxmlformats.org/spreadsheetml/2006/main" count="388" uniqueCount="132">
  <si>
    <t>Unit 2</t>
  </si>
  <si>
    <t>Total*</t>
  </si>
  <si>
    <t>Year</t>
  </si>
  <si>
    <t>r =</t>
  </si>
  <si>
    <t>Unit 1</t>
  </si>
  <si>
    <t>Unit 3</t>
  </si>
  <si>
    <t>1-2</t>
  </si>
  <si>
    <t>1-3</t>
  </si>
  <si>
    <t>2-3</t>
  </si>
  <si>
    <t>Signal Analysis</t>
  </si>
  <si>
    <t>Input Cells</t>
  </si>
  <si>
    <t>Verification Cells - Good</t>
  </si>
  <si>
    <t>Verification Cells - Bad</t>
  </si>
  <si>
    <t>Full Year</t>
  </si>
  <si>
    <t>Legend</t>
  </si>
  <si>
    <t>Methodology Grouping</t>
  </si>
  <si>
    <t>Total</t>
  </si>
  <si>
    <t>Notes:</t>
  </si>
  <si>
    <t>Unit 4</t>
  </si>
  <si>
    <t>Unit 5</t>
  </si>
  <si>
    <t>Set 1 (High)</t>
  </si>
  <si>
    <t>Set 2 (Medium)</t>
  </si>
  <si>
    <t>Set 3 (Low)</t>
  </si>
  <si>
    <t>Coal</t>
  </si>
  <si>
    <t>Wind</t>
  </si>
  <si>
    <t>Peaking</t>
  </si>
  <si>
    <t>Cogen</t>
  </si>
  <si>
    <t>CCGT</t>
  </si>
  <si>
    <t>Unit 6</t>
  </si>
  <si>
    <t>1-4</t>
  </si>
  <si>
    <t>1-5</t>
  </si>
  <si>
    <t>1-6</t>
  </si>
  <si>
    <t>2-4</t>
  </si>
  <si>
    <t>2-5</t>
  </si>
  <si>
    <t>2-6</t>
  </si>
  <si>
    <t>3-5</t>
  </si>
  <si>
    <t>3-4</t>
  </si>
  <si>
    <t>3-6</t>
  </si>
  <si>
    <t>4-5</t>
  </si>
  <si>
    <t>4-6</t>
  </si>
  <si>
    <t>5-6</t>
  </si>
  <si>
    <t>Hours (grouped in 3 sets)</t>
  </si>
  <si>
    <t>Load</t>
  </si>
  <si>
    <t>h</t>
  </si>
  <si>
    <t>MW</t>
  </si>
  <si>
    <t>MWh</t>
  </si>
  <si>
    <t>%</t>
  </si>
  <si>
    <t>Time</t>
  </si>
  <si>
    <t>Generation</t>
  </si>
  <si>
    <t>Flow (I)</t>
  </si>
  <si>
    <t>Flow (I) without Unit</t>
  </si>
  <si>
    <t>System Losses</t>
  </si>
  <si>
    <t>System Losses w/o Unit</t>
  </si>
  <si>
    <t>Impact on System Losses</t>
  </si>
  <si>
    <t>Over (-) / Under (+) Volume</t>
  </si>
  <si>
    <t>Shift Factor</t>
  </si>
  <si>
    <t>Final Hourly Loss Factors</t>
  </si>
  <si>
    <t>Volume Weighted FHLF</t>
  </si>
  <si>
    <t>Volume Weighted RLF</t>
  </si>
  <si>
    <t>Final Loss Factor</t>
  </si>
  <si>
    <t>Volume Mismatch Check</t>
  </si>
  <si>
    <t>(1)</t>
  </si>
  <si>
    <t>(7)</t>
  </si>
  <si>
    <t>(6)</t>
  </si>
  <si>
    <t>(5)</t>
  </si>
  <si>
    <t>(4)</t>
  </si>
  <si>
    <t>(3)</t>
  </si>
  <si>
    <t>(2)</t>
  </si>
  <si>
    <t>The diagram on the left shows the system and the maximum capability of each unit. Unit names are intented as a general description to explain their generation profile.</t>
  </si>
  <si>
    <r>
      <t xml:space="preserve">Clipping is </t>
    </r>
    <r>
      <rPr>
        <u/>
        <sz val="11"/>
        <color theme="1"/>
        <rFont val="Calibri"/>
        <family val="2"/>
      </rPr>
      <t>not</t>
    </r>
    <r>
      <rPr>
        <sz val="11"/>
        <color theme="1"/>
        <rFont val="Calibri"/>
        <family val="2"/>
        <scheme val="minor"/>
      </rPr>
      <t xml:space="preserve"> included! The final shift and clipping should be done in one step at the end regardless of methodology. (An annual shift does not distort the signal; the clipping obviously would.)</t>
    </r>
  </si>
  <si>
    <t>% Benchm.</t>
  </si>
  <si>
    <t>Benchm.</t>
  </si>
  <si>
    <t>To negate Excel rounding errors verification cells containing ratios (area AI to BL) are rounded to 5 decimals (1/1000th of a percent). Similarly, verification cells containing differences (all others) are rounded to 10 decimals.</t>
  </si>
  <si>
    <t>Hourly RLF + Annual SF</t>
  </si>
  <si>
    <t>Hourly RLF + Hourly SF</t>
  </si>
  <si>
    <t>Total Generation (2014-110, para. 71)</t>
  </si>
  <si>
    <t>As Defined/Referred in a Decision</t>
  </si>
  <si>
    <t>Total Load (2014-110, para. 71)</t>
  </si>
  <si>
    <t>Time Period Under Consideration (2014-110, para. 71)</t>
  </si>
  <si>
    <t>Total System Losses w/o Unit (2014-110, para. 71)</t>
  </si>
  <si>
    <t>RLF representing impact on ASL (2014-110, para. 77)</t>
  </si>
  <si>
    <r>
      <t xml:space="preserve">The benchmark in row 18 is a direct calculation based on the </t>
    </r>
    <r>
      <rPr>
        <i/>
        <sz val="11"/>
        <color theme="1"/>
        <rFont val="Calibri"/>
        <family val="2"/>
        <scheme val="minor"/>
      </rPr>
      <t>Transmission Regulation</t>
    </r>
    <r>
      <rPr>
        <sz val="11"/>
        <color theme="1"/>
        <rFont val="Calibri"/>
        <family val="2"/>
        <scheme val="minor"/>
      </rPr>
      <t xml:space="preserve"> (which doesn't mention hourly loss factor) as interpreted by various Decisions. Row 21 shifts these RLF for correct total collection.</t>
    </r>
  </si>
  <si>
    <t>Hourly Raw Loss Factors</t>
  </si>
  <si>
    <t>Green numbers in Row 4 show the order in which units are dispatched when going up the merit order. The analyzed unit is skipped when going up the merit order.</t>
  </si>
  <si>
    <r>
      <t xml:space="preserve">The </t>
    </r>
    <r>
      <rPr>
        <i/>
        <sz val="11"/>
        <color theme="1"/>
        <rFont val="Calibri"/>
        <family val="2"/>
        <scheme val="minor"/>
      </rPr>
      <t>Transmission Regulation</t>
    </r>
    <r>
      <rPr>
        <sz val="11"/>
        <color theme="1"/>
        <rFont val="Calibri"/>
        <family val="2"/>
        <scheme val="minor"/>
      </rPr>
      <t xml:space="preserve"> does not reference hourly loss factors. However these can be calculated and can theoretically be used for further calculations.</t>
    </r>
  </si>
  <si>
    <t>Rows 24-29 show an incorrect way of using hourly raw loss factors (by using hourly shift factors). Rows 31-36 show the correct way of using hourly raw loss factors (by volume weighing and using an annual shift factor).</t>
  </si>
  <si>
    <t>Hourly raw loss factors for units with zero output in the hour are set to the marginal loss factor. (No impact due to zero weight but mathematically.)</t>
  </si>
  <si>
    <t>(8)</t>
  </si>
  <si>
    <t>Average Generation When Generating</t>
  </si>
  <si>
    <t>Total System Losses (2014-110, para. 71) When Generating</t>
  </si>
  <si>
    <t>Contribution (2014-110, para. 77) When Generating</t>
  </si>
  <si>
    <t>Raw loss factors were calculated under three scenarios</t>
  </si>
  <si>
    <t>Generating
Unit</t>
  </si>
  <si>
    <t>Unit 1: 100 MW</t>
  </si>
  <si>
    <t>Unit 2: 75 MW</t>
  </si>
  <si>
    <t>Unit 3: 125 MW</t>
  </si>
  <si>
    <t>Unit 4: 50 MW</t>
  </si>
  <si>
    <t>Unit 5: 75 MW</t>
  </si>
  <si>
    <t>Unit 6: 100 MW</t>
  </si>
  <si>
    <r>
      <t xml:space="preserve">Medium Load Scenario
</t>
    </r>
    <r>
      <rPr>
        <sz val="11"/>
        <color theme="1"/>
        <rFont val="MS Reference Sans Serif"/>
        <family val="2"/>
      </rPr>
      <t>≈235</t>
    </r>
    <r>
      <rPr>
        <sz val="11"/>
        <color theme="1"/>
        <rFont val="Calibri"/>
        <family val="2"/>
      </rPr>
      <t xml:space="preserve"> MW</t>
    </r>
  </si>
  <si>
    <t>“NA” indicates generating unit was not dispatched and no loss factor applies in scenario</t>
  </si>
  <si>
    <t>Differentials between loss factors varied between methods</t>
  </si>
  <si>
    <t>Pairs of Units
Being
Compared</t>
  </si>
  <si>
    <t>Differentials
Between
Raw Loss Factors</t>
  </si>
  <si>
    <t>Differentials Using
Single Annual
Shift Factor</t>
  </si>
  <si>
    <t>Differentials Using
Hourly Plus Annual
Shift Factors</t>
  </si>
  <si>
    <r>
      <t xml:space="preserve">Low Load
Scenario
</t>
    </r>
    <r>
      <rPr>
        <sz val="11"/>
        <color theme="1"/>
        <rFont val="MS Reference Sans Serif"/>
        <family val="2"/>
      </rPr>
      <t>≈</t>
    </r>
    <r>
      <rPr>
        <sz val="11"/>
        <color theme="1"/>
        <rFont val="Calibri"/>
        <family val="2"/>
      </rPr>
      <t>147 MW</t>
    </r>
  </si>
  <si>
    <r>
      <t xml:space="preserve">High Load
Scenario
</t>
    </r>
    <r>
      <rPr>
        <sz val="11"/>
        <color theme="1"/>
        <rFont val="MS Reference Sans Serif"/>
        <family val="2"/>
      </rPr>
      <t>≈303</t>
    </r>
    <r>
      <rPr>
        <sz val="11"/>
        <color theme="1"/>
        <rFont val="Calibri"/>
        <family val="2"/>
      </rPr>
      <t xml:space="preserve"> MW</t>
    </r>
  </si>
  <si>
    <r>
      <t>Unit 1</t>
    </r>
    <r>
      <rPr>
        <sz val="11"/>
        <color theme="1"/>
        <rFont val="Wingdings"/>
        <charset val="2"/>
      </rPr>
      <t>ó</t>
    </r>
    <r>
      <rPr>
        <sz val="11"/>
        <color theme="1"/>
        <rFont val="Calibri"/>
        <family val="2"/>
        <scheme val="minor"/>
      </rPr>
      <t>Unit 2</t>
    </r>
  </si>
  <si>
    <r>
      <t>Unit 1</t>
    </r>
    <r>
      <rPr>
        <sz val="11"/>
        <color theme="1"/>
        <rFont val="Wingdings"/>
        <charset val="2"/>
      </rPr>
      <t>ó</t>
    </r>
    <r>
      <rPr>
        <sz val="11"/>
        <color theme="1"/>
        <rFont val="Calibri"/>
        <family val="2"/>
        <scheme val="minor"/>
      </rPr>
      <t>Unit 3</t>
    </r>
  </si>
  <si>
    <r>
      <t>Unit 1</t>
    </r>
    <r>
      <rPr>
        <sz val="11"/>
        <color theme="1"/>
        <rFont val="Wingdings"/>
        <charset val="2"/>
      </rPr>
      <t>ó</t>
    </r>
    <r>
      <rPr>
        <sz val="11"/>
        <color theme="1"/>
        <rFont val="Calibri"/>
        <family val="2"/>
        <scheme val="minor"/>
      </rPr>
      <t>Unit 4</t>
    </r>
  </si>
  <si>
    <r>
      <t>Unit 1</t>
    </r>
    <r>
      <rPr>
        <sz val="11"/>
        <color theme="1"/>
        <rFont val="Wingdings"/>
        <charset val="2"/>
      </rPr>
      <t>ó</t>
    </r>
    <r>
      <rPr>
        <sz val="11"/>
        <color theme="1"/>
        <rFont val="Calibri"/>
        <family val="2"/>
        <scheme val="minor"/>
      </rPr>
      <t>Unit 5</t>
    </r>
  </si>
  <si>
    <r>
      <t>Unit 1</t>
    </r>
    <r>
      <rPr>
        <sz val="11"/>
        <color theme="1"/>
        <rFont val="Wingdings"/>
        <charset val="2"/>
      </rPr>
      <t>ó</t>
    </r>
    <r>
      <rPr>
        <sz val="11"/>
        <color theme="1"/>
        <rFont val="Calibri"/>
        <family val="2"/>
        <scheme val="minor"/>
      </rPr>
      <t>Unit 6</t>
    </r>
  </si>
  <si>
    <r>
      <t>Unit 2</t>
    </r>
    <r>
      <rPr>
        <sz val="11"/>
        <color theme="1"/>
        <rFont val="Wingdings"/>
        <charset val="2"/>
      </rPr>
      <t>ó</t>
    </r>
    <r>
      <rPr>
        <sz val="11"/>
        <color theme="1"/>
        <rFont val="Calibri"/>
        <family val="2"/>
        <scheme val="minor"/>
      </rPr>
      <t>Unit 3</t>
    </r>
  </si>
  <si>
    <r>
      <t>Unit 2</t>
    </r>
    <r>
      <rPr>
        <sz val="11"/>
        <color theme="1"/>
        <rFont val="Wingdings"/>
        <charset val="2"/>
      </rPr>
      <t>ó</t>
    </r>
    <r>
      <rPr>
        <sz val="11"/>
        <color theme="1"/>
        <rFont val="Calibri"/>
        <family val="2"/>
        <scheme val="minor"/>
      </rPr>
      <t>Unit 4</t>
    </r>
  </si>
  <si>
    <r>
      <t>Unit 2</t>
    </r>
    <r>
      <rPr>
        <sz val="11"/>
        <color theme="1"/>
        <rFont val="Wingdings"/>
        <charset val="2"/>
      </rPr>
      <t>ó</t>
    </r>
    <r>
      <rPr>
        <sz val="11"/>
        <color theme="1"/>
        <rFont val="Calibri"/>
        <family val="2"/>
        <scheme val="minor"/>
      </rPr>
      <t>Unit 5</t>
    </r>
  </si>
  <si>
    <r>
      <t>Unit 2</t>
    </r>
    <r>
      <rPr>
        <sz val="11"/>
        <color theme="1"/>
        <rFont val="Wingdings"/>
        <charset val="2"/>
      </rPr>
      <t>ó</t>
    </r>
    <r>
      <rPr>
        <sz val="11"/>
        <color theme="1"/>
        <rFont val="Calibri"/>
        <family val="2"/>
        <scheme val="minor"/>
      </rPr>
      <t>Unit 6</t>
    </r>
  </si>
  <si>
    <r>
      <t>Unit 3</t>
    </r>
    <r>
      <rPr>
        <sz val="11"/>
        <color theme="1"/>
        <rFont val="Wingdings"/>
        <charset val="2"/>
      </rPr>
      <t>ó</t>
    </r>
    <r>
      <rPr>
        <sz val="11"/>
        <color theme="1"/>
        <rFont val="Calibri"/>
        <family val="2"/>
        <scheme val="minor"/>
      </rPr>
      <t>Unit 4</t>
    </r>
  </si>
  <si>
    <r>
      <t>Unit 3</t>
    </r>
    <r>
      <rPr>
        <sz val="11"/>
        <color theme="1"/>
        <rFont val="Wingdings"/>
        <charset val="2"/>
      </rPr>
      <t>ó</t>
    </r>
    <r>
      <rPr>
        <sz val="11"/>
        <color theme="1"/>
        <rFont val="Calibri"/>
        <family val="2"/>
        <scheme val="minor"/>
      </rPr>
      <t>Unit 5</t>
    </r>
  </si>
  <si>
    <r>
      <t>Unit 3</t>
    </r>
    <r>
      <rPr>
        <sz val="11"/>
        <color theme="1"/>
        <rFont val="Wingdings"/>
        <charset val="2"/>
      </rPr>
      <t>ó</t>
    </r>
    <r>
      <rPr>
        <sz val="11"/>
        <color theme="1"/>
        <rFont val="Calibri"/>
        <family val="2"/>
        <scheme val="minor"/>
      </rPr>
      <t>Unit 6</t>
    </r>
  </si>
  <si>
    <r>
      <t>Unit 4</t>
    </r>
    <r>
      <rPr>
        <sz val="11"/>
        <color theme="1"/>
        <rFont val="Wingdings"/>
        <charset val="2"/>
      </rPr>
      <t>ó</t>
    </r>
    <r>
      <rPr>
        <sz val="11"/>
        <color theme="1"/>
        <rFont val="Calibri"/>
        <family val="2"/>
        <scheme val="minor"/>
      </rPr>
      <t>Unit 5</t>
    </r>
  </si>
  <si>
    <r>
      <t>Unit 4</t>
    </r>
    <r>
      <rPr>
        <sz val="11"/>
        <color theme="1"/>
        <rFont val="Wingdings"/>
        <charset val="2"/>
      </rPr>
      <t>ó</t>
    </r>
    <r>
      <rPr>
        <sz val="11"/>
        <color theme="1"/>
        <rFont val="Calibri"/>
        <family val="2"/>
        <scheme val="minor"/>
      </rPr>
      <t>Unit 6</t>
    </r>
  </si>
  <si>
    <r>
      <t>Unit 5</t>
    </r>
    <r>
      <rPr>
        <sz val="11"/>
        <color theme="1"/>
        <rFont val="Wingdings"/>
        <charset val="2"/>
      </rPr>
      <t>ó</t>
    </r>
    <r>
      <rPr>
        <sz val="11"/>
        <color theme="1"/>
        <rFont val="Calibri"/>
        <family val="2"/>
        <scheme val="minor"/>
      </rPr>
      <t>Unit 6</t>
    </r>
  </si>
  <si>
    <t>Average</t>
  </si>
  <si>
    <t>The diagram on the left shows the system and the maximum capability of each unit. Unit names are intended as a general description to explain their generation profile.</t>
  </si>
  <si>
    <t>Hourly raw loss factors for units with zero output in the hour are set to “NA”. (No impact due to zero weight but shows which units do not have loss factors in that period.)</t>
  </si>
  <si>
    <t>Rows 24-29 show the alternative using hourly raw loss factors (by using hourly shift factors). Rows 31-36 show the alternative using hourly raw loss factors (by volume weighting and using an annual shift factor).</t>
  </si>
  <si>
    <t>These loss factor differentials are duration-weighted averages over all periods in which both units have a calculated loss factor (that is, neither unit has “NA” indicated for its loss factor).</t>
  </si>
  <si>
    <t>These loss factor differentials are the differences between shifted annual loss factors and ignore whether units have loss factors calculated in each hour or not (effectively assuming a loss factor of 0% in an hour when a unit is not dispatched).</t>
  </si>
  <si>
    <t>Total System Losses (2014-110, para. 71)</t>
  </si>
  <si>
    <t>Contribution (2014-110, para. 77)</t>
  </si>
  <si>
    <t>Excluding “NA” Rows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</si>
</sst>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 #,##0.00_-;\-* #,##0.00_-;_-* &quot;-&quot;??_-;_-@_-"/>
    <numFmt numFmtId="166" formatCode="0.0%"/>
    <numFmt numFmtId="167" formatCode="_-* #,##0.0_-;\-* #,##0.0_-;_-* &quot;-&quot;??_-;_-@_-"/>
    <numFmt numFmtId="168" formatCode="_-&quot;$&quot;* #,##0_-;\-&quot;$&quot;* #,##0_-;_-&quot;$&quot;* &quot;-&quot;??_-;_-@_-"/>
    <numFmt numFmtId="169" formatCode="0.000%"/>
    <numFmt numFmtId="170" formatCode="_-* #,##0_-;\-* #,##0_-;_-* &quot;-&quot;??_-;_-@_-"/>
    <numFmt numFmtId="171"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9C0006"/>
      <name val="Calibri"/>
      <family val="2"/>
      <scheme val="minor"/>
    </font>
    <font>
      <sz val="11"/>
      <color rgb="FF006100"/>
      <name val="Calibri"/>
      <family val="2"/>
      <scheme val="minor"/>
    </font>
    <font>
      <sz val="11"/>
      <color rgb="FF3F3F76"/>
      <name val="Calibri"/>
      <family val="2"/>
      <scheme val="minor"/>
    </font>
    <font>
      <i/>
      <sz val="11"/>
      <color theme="1"/>
      <name val="Calibri"/>
      <family val="2"/>
      <scheme val="minor"/>
    </font>
    <font>
      <u/>
      <sz val="11"/>
      <color theme="1"/>
      <name val="Calibri"/>
      <family val="2"/>
    </font>
    <font>
      <b/>
      <sz val="9"/>
      <color theme="1"/>
      <name val="Calibri"/>
      <family val="2"/>
      <scheme val="minor"/>
    </font>
    <font>
      <b/>
      <sz val="8"/>
      <color theme="1"/>
      <name val="Calibri"/>
      <family val="2"/>
      <scheme val="minor"/>
    </font>
    <font>
      <b/>
      <sz val="11"/>
      <color rgb="FF00B050"/>
      <name val="Calibri"/>
      <family val="2"/>
      <scheme val="minor"/>
    </font>
    <font>
      <sz val="11"/>
      <color theme="0"/>
      <name val="Calibri"/>
      <family val="2"/>
      <scheme val="minor"/>
    </font>
    <font>
      <sz val="11"/>
      <name val="Calibri"/>
      <family val="2"/>
      <scheme val="minor"/>
    </font>
    <font>
      <sz val="11"/>
      <color theme="1"/>
      <name val="MS Reference Sans Serif"/>
      <family val="2"/>
    </font>
    <font>
      <sz val="11"/>
      <color theme="1"/>
      <name val="Calibri"/>
      <family val="2"/>
    </font>
    <font>
      <sz val="11"/>
      <color theme="1"/>
      <name val="Wingdings"/>
      <charset val="2"/>
    </font>
  </fonts>
  <fills count="9">
    <fill>
      <patternFill patternType="none"/>
    </fill>
    <fill>
      <patternFill patternType="gray125"/>
    </fill>
    <fill>
      <patternFill patternType="solid">
        <fgColor theme="4" tint="0.79998168889431442"/>
        <bgColor indexed="64"/>
      </patternFill>
    </fill>
    <fill>
      <patternFill patternType="solid">
        <fgColor rgb="FFFFC7CE"/>
      </patternFill>
    </fill>
    <fill>
      <patternFill patternType="solid">
        <fgColor theme="9" tint="0.79998168889431442"/>
        <bgColor indexed="64"/>
      </patternFill>
    </fill>
    <fill>
      <patternFill patternType="solid">
        <fgColor rgb="FFC6EFCE"/>
      </patternFill>
    </fill>
    <fill>
      <patternFill patternType="solid">
        <fgColor theme="2"/>
        <bgColor indexed="64"/>
      </patternFill>
    </fill>
    <fill>
      <patternFill patternType="solid">
        <fgColor rgb="FFFFCC99"/>
      </patternFill>
    </fill>
    <fill>
      <patternFill patternType="solid">
        <fgColor theme="5"/>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3" borderId="0" applyNumberFormat="0" applyBorder="0" applyAlignment="0" applyProtection="0"/>
    <xf numFmtId="0" fontId="5" fillId="5" borderId="0" applyNumberFormat="0" applyBorder="0" applyAlignment="0" applyProtection="0"/>
    <xf numFmtId="0" fontId="6" fillId="7" borderId="1" applyNumberFormat="0" applyAlignment="0" applyProtection="0"/>
    <xf numFmtId="0" fontId="12" fillId="8" borderId="0" applyNumberFormat="0" applyBorder="0" applyAlignment="0" applyProtection="0"/>
  </cellStyleXfs>
  <cellXfs count="137">
    <xf numFmtId="0" fontId="0" fillId="0" borderId="0" xfId="0"/>
    <xf numFmtId="167" fontId="0" fillId="0" borderId="0" xfId="1" applyNumberFormat="1" applyFont="1"/>
    <xf numFmtId="0" fontId="2" fillId="0" borderId="0" xfId="0" applyFont="1"/>
    <xf numFmtId="0" fontId="0" fillId="2" borderId="0" xfId="0" applyFill="1"/>
    <xf numFmtId="167" fontId="0" fillId="2" borderId="0" xfId="1" applyNumberFormat="1" applyFont="1" applyFill="1"/>
    <xf numFmtId="164" fontId="0" fillId="2" borderId="0" xfId="2" applyFont="1" applyFill="1"/>
    <xf numFmtId="0" fontId="0" fillId="0" borderId="0" xfId="0" applyBorder="1"/>
    <xf numFmtId="0" fontId="0" fillId="2" borderId="0" xfId="0" applyFill="1" applyBorder="1"/>
    <xf numFmtId="168" fontId="0" fillId="2" borderId="0" xfId="2" applyNumberFormat="1" applyFont="1" applyFill="1" applyBorder="1"/>
    <xf numFmtId="166" fontId="0" fillId="2" borderId="0" xfId="3" applyNumberFormat="1" applyFont="1" applyFill="1" applyBorder="1"/>
    <xf numFmtId="0" fontId="0" fillId="0" borderId="0" xfId="0" applyFill="1"/>
    <xf numFmtId="0" fontId="0" fillId="0" borderId="0" xfId="0" applyAlignment="1">
      <alignment horizontal="center"/>
    </xf>
    <xf numFmtId="0" fontId="0" fillId="4" borderId="0" xfId="0" applyFill="1"/>
    <xf numFmtId="167" fontId="0" fillId="4" borderId="0" xfId="1" applyNumberFormat="1" applyFont="1" applyFill="1"/>
    <xf numFmtId="168" fontId="0" fillId="4" borderId="0" xfId="2" applyNumberFormat="1" applyFont="1" applyFill="1" applyBorder="1"/>
    <xf numFmtId="167" fontId="0" fillId="4" borderId="0" xfId="1" applyNumberFormat="1" applyFont="1" applyFill="1" applyBorder="1"/>
    <xf numFmtId="166" fontId="0" fillId="4" borderId="0" xfId="3" applyNumberFormat="1" applyFont="1" applyFill="1" applyBorder="1"/>
    <xf numFmtId="0" fontId="0" fillId="4" borderId="0" xfId="0" applyFill="1" applyBorder="1"/>
    <xf numFmtId="170" fontId="0" fillId="0" borderId="0" xfId="1" applyNumberFormat="1" applyFont="1"/>
    <xf numFmtId="170" fontId="0" fillId="4" borderId="0" xfId="1" applyNumberFormat="1" applyFont="1" applyFill="1"/>
    <xf numFmtId="170" fontId="0" fillId="2" borderId="0" xfId="1" applyNumberFormat="1" applyFont="1" applyFill="1"/>
    <xf numFmtId="166" fontId="0" fillId="4" borderId="0" xfId="0" applyNumberFormat="1" applyFill="1" applyBorder="1"/>
    <xf numFmtId="167" fontId="0" fillId="6" borderId="0" xfId="1" applyNumberFormat="1" applyFont="1" applyFill="1"/>
    <xf numFmtId="0" fontId="0" fillId="2" borderId="0" xfId="0" applyFill="1" applyAlignment="1">
      <alignment horizontal="center"/>
    </xf>
    <xf numFmtId="164" fontId="0" fillId="2" borderId="0" xfId="2" applyFont="1" applyFill="1" applyBorder="1"/>
    <xf numFmtId="170" fontId="0" fillId="0" borderId="0" xfId="1" applyNumberFormat="1" applyFont="1" applyFill="1"/>
    <xf numFmtId="167" fontId="0" fillId="0" borderId="0" xfId="1" applyNumberFormat="1" applyFont="1" applyFill="1"/>
    <xf numFmtId="168" fontId="0" fillId="0" borderId="0" xfId="2" applyNumberFormat="1" applyFont="1" applyFill="1" applyBorder="1"/>
    <xf numFmtId="0" fontId="0" fillId="0" borderId="0" xfId="0" applyFill="1" applyBorder="1"/>
    <xf numFmtId="0" fontId="0" fillId="4" borderId="0" xfId="0" applyFill="1" applyAlignment="1">
      <alignment horizontal="center"/>
    </xf>
    <xf numFmtId="164" fontId="0" fillId="4" borderId="0" xfId="0" applyNumberFormat="1" applyFill="1"/>
    <xf numFmtId="10" fontId="0" fillId="4" borderId="0" xfId="3" applyNumberFormat="1" applyFont="1" applyFill="1" applyBorder="1"/>
    <xf numFmtId="0" fontId="2" fillId="0" borderId="0" xfId="0" applyFont="1" applyFill="1"/>
    <xf numFmtId="0" fontId="0" fillId="6" borderId="0" xfId="0" quotePrefix="1" applyFill="1" applyAlignment="1">
      <alignment horizontal="center"/>
    </xf>
    <xf numFmtId="0" fontId="0" fillId="6" borderId="0" xfId="0" applyFill="1" applyAlignment="1">
      <alignment horizontal="center"/>
    </xf>
    <xf numFmtId="0" fontId="0" fillId="6" borderId="0" xfId="0" applyFill="1"/>
    <xf numFmtId="170" fontId="0" fillId="6" borderId="0" xfId="1" applyNumberFormat="1" applyFont="1" applyFill="1"/>
    <xf numFmtId="166" fontId="0" fillId="6" borderId="0" xfId="0" applyNumberFormat="1" applyFill="1" applyBorder="1"/>
    <xf numFmtId="167" fontId="0" fillId="6" borderId="0" xfId="1" applyNumberFormat="1" applyFont="1" applyFill="1" applyBorder="1"/>
    <xf numFmtId="0" fontId="0" fillId="6" borderId="0" xfId="0" applyFill="1" applyBorder="1"/>
    <xf numFmtId="169" fontId="5" fillId="5" borderId="0" xfId="5" applyNumberFormat="1" applyBorder="1" applyAlignment="1">
      <alignment horizontal="center"/>
    </xf>
    <xf numFmtId="0" fontId="6" fillId="7" borderId="1" xfId="6"/>
    <xf numFmtId="0" fontId="6" fillId="7" borderId="1" xfId="6" applyAlignment="1">
      <alignment horizontal="left"/>
    </xf>
    <xf numFmtId="169" fontId="4" fillId="3" borderId="2" xfId="4" applyNumberFormat="1" applyBorder="1"/>
    <xf numFmtId="0" fontId="6" fillId="7" borderId="2" xfId="6" applyBorder="1" applyAlignment="1">
      <alignment horizontal="center"/>
    </xf>
    <xf numFmtId="0" fontId="5" fillId="5" borderId="2" xfId="5" applyBorder="1" applyAlignment="1">
      <alignment horizontal="center"/>
    </xf>
    <xf numFmtId="0" fontId="4" fillId="3" borderId="2" xfId="4" applyBorder="1" applyAlignment="1">
      <alignment horizontal="center"/>
    </xf>
    <xf numFmtId="0" fontId="0" fillId="2" borderId="0" xfId="0" applyFill="1" applyBorder="1" applyAlignment="1">
      <alignment horizontal="center"/>
    </xf>
    <xf numFmtId="167" fontId="0" fillId="4" borderId="0" xfId="1" applyNumberFormat="1" applyFont="1" applyFill="1" applyAlignment="1">
      <alignment horizontal="center"/>
    </xf>
    <xf numFmtId="170" fontId="0" fillId="6" borderId="0" xfId="1" applyNumberFormat="1" applyFont="1" applyFill="1" applyAlignment="1">
      <alignment horizontal="center"/>
    </xf>
    <xf numFmtId="0" fontId="2" fillId="0" borderId="0" xfId="0" applyFont="1" applyBorder="1" applyAlignment="1">
      <alignment horizontal="center"/>
    </xf>
    <xf numFmtId="0" fontId="0" fillId="0" borderId="5" xfId="0" applyBorder="1"/>
    <xf numFmtId="0" fontId="0" fillId="2" borderId="5" xfId="0" applyFill="1" applyBorder="1"/>
    <xf numFmtId="0" fontId="0" fillId="0" borderId="5" xfId="0" applyFill="1" applyBorder="1"/>
    <xf numFmtId="166" fontId="0" fillId="4" borderId="5" xfId="3" applyNumberFormat="1" applyFont="1" applyFill="1" applyBorder="1"/>
    <xf numFmtId="166" fontId="0" fillId="6" borderId="5" xfId="0" applyNumberFormat="1" applyFill="1" applyBorder="1"/>
    <xf numFmtId="0" fontId="0" fillId="0" borderId="6" xfId="0" applyBorder="1"/>
    <xf numFmtId="167" fontId="0" fillId="0" borderId="8" xfId="1" applyNumberFormat="1" applyFont="1" applyBorder="1"/>
    <xf numFmtId="0" fontId="0" fillId="0" borderId="8" xfId="0" applyBorder="1"/>
    <xf numFmtId="0" fontId="0" fillId="0" borderId="10" xfId="0" applyFill="1" applyBorder="1"/>
    <xf numFmtId="165" fontId="4" fillId="3" borderId="11" xfId="4" applyNumberFormat="1" applyBorder="1"/>
    <xf numFmtId="0" fontId="0" fillId="4" borderId="5" xfId="0" applyFill="1" applyBorder="1"/>
    <xf numFmtId="168" fontId="0" fillId="2" borderId="10" xfId="2" applyNumberFormat="1" applyFont="1" applyFill="1" applyBorder="1"/>
    <xf numFmtId="168" fontId="0" fillId="0" borderId="10" xfId="2" applyNumberFormat="1" applyFont="1" applyFill="1" applyBorder="1"/>
    <xf numFmtId="168" fontId="0" fillId="4" borderId="10" xfId="2" applyNumberFormat="1" applyFont="1" applyFill="1" applyBorder="1"/>
    <xf numFmtId="168" fontId="0" fillId="6" borderId="10" xfId="2" applyNumberFormat="1" applyFont="1" applyFill="1" applyBorder="1"/>
    <xf numFmtId="168" fontId="0" fillId="0" borderId="12" xfId="2" applyNumberFormat="1" applyFont="1" applyFill="1" applyBorder="1"/>
    <xf numFmtId="0" fontId="0" fillId="0" borderId="3" xfId="0" applyBorder="1" applyAlignment="1">
      <alignment horizontal="center"/>
    </xf>
    <xf numFmtId="167" fontId="0" fillId="6" borderId="5" xfId="1" applyNumberFormat="1" applyFont="1" applyFill="1" applyBorder="1"/>
    <xf numFmtId="10" fontId="0" fillId="4" borderId="0" xfId="0" applyNumberFormat="1" applyFill="1" applyBorder="1"/>
    <xf numFmtId="10" fontId="0" fillId="6" borderId="0" xfId="0" applyNumberFormat="1" applyFill="1" applyBorder="1"/>
    <xf numFmtId="0" fontId="0" fillId="0" borderId="0" xfId="0" applyAlignment="1">
      <alignment horizontal="right"/>
    </xf>
    <xf numFmtId="170" fontId="0" fillId="4" borderId="0" xfId="1" applyNumberFormat="1" applyFont="1" applyFill="1" applyBorder="1"/>
    <xf numFmtId="0" fontId="2" fillId="2" borderId="0" xfId="0" applyFont="1" applyFill="1" applyAlignment="1">
      <alignment horizontal="centerContinuous"/>
    </xf>
    <xf numFmtId="0" fontId="0" fillId="0" borderId="0" xfId="0" applyAlignment="1"/>
    <xf numFmtId="0" fontId="2" fillId="0" borderId="0" xfId="0" applyFont="1" applyAlignment="1"/>
    <xf numFmtId="0" fontId="11" fillId="2" borderId="0" xfId="0" applyFont="1" applyFill="1" applyAlignment="1">
      <alignment horizontal="center"/>
    </xf>
    <xf numFmtId="0" fontId="3" fillId="4" borderId="0" xfId="0" applyFont="1" applyFill="1" applyAlignment="1">
      <alignment horizontal="centerContinuous"/>
    </xf>
    <xf numFmtId="0" fontId="3" fillId="6" borderId="0" xfId="0" applyFont="1" applyFill="1" applyAlignment="1">
      <alignment horizontal="centerContinuous"/>
    </xf>
    <xf numFmtId="0" fontId="0" fillId="0" borderId="0" xfId="0" applyAlignment="1">
      <alignment horizontal="centerContinuous"/>
    </xf>
    <xf numFmtId="0" fontId="0" fillId="0" borderId="5" xfId="0"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xf>
    <xf numFmtId="0" fontId="0" fillId="0" borderId="10" xfId="0" applyBorder="1" applyAlignment="1">
      <alignment horizontal="center"/>
    </xf>
    <xf numFmtId="0" fontId="2" fillId="0" borderId="0" xfId="0" applyFont="1" applyFill="1" applyBorder="1" applyAlignment="1">
      <alignment horizontal="center"/>
    </xf>
    <xf numFmtId="0" fontId="0" fillId="0" borderId="0" xfId="0" applyFill="1" applyAlignment="1">
      <alignment horizontal="center"/>
    </xf>
    <xf numFmtId="0" fontId="6" fillId="0" borderId="0" xfId="6" applyFill="1" applyBorder="1" applyAlignment="1">
      <alignment horizontal="center"/>
    </xf>
    <xf numFmtId="0" fontId="5" fillId="0" borderId="0" xfId="5" applyFill="1" applyBorder="1" applyAlignment="1">
      <alignment horizontal="center"/>
    </xf>
    <xf numFmtId="0" fontId="4" fillId="0" borderId="0" xfId="4" applyFill="1" applyBorder="1" applyAlignment="1">
      <alignment horizontal="center"/>
    </xf>
    <xf numFmtId="167" fontId="0" fillId="0" borderId="0" xfId="1" applyNumberFormat="1" applyFont="1" applyFill="1" applyAlignment="1">
      <alignment horizontal="center"/>
    </xf>
    <xf numFmtId="170" fontId="0" fillId="0" borderId="0" xfId="1" applyNumberFormat="1" applyFont="1" applyFill="1" applyAlignment="1">
      <alignment horizontal="center"/>
    </xf>
    <xf numFmtId="0" fontId="0" fillId="0" borderId="0" xfId="0" quotePrefix="1" applyAlignment="1">
      <alignment horizontal="center"/>
    </xf>
    <xf numFmtId="10" fontId="0" fillId="4" borderId="0" xfId="0" applyNumberFormat="1" applyFill="1"/>
    <xf numFmtId="165" fontId="4" fillId="3" borderId="0" xfId="4" applyNumberFormat="1" applyBorder="1"/>
    <xf numFmtId="0" fontId="13" fillId="0" borderId="0" xfId="0" applyFont="1"/>
    <xf numFmtId="0" fontId="12" fillId="8" borderId="0" xfId="7"/>
    <xf numFmtId="0" fontId="12" fillId="8" borderId="0" xfId="7" applyAlignment="1">
      <alignment horizontal="center"/>
    </xf>
    <xf numFmtId="0" fontId="12" fillId="8" borderId="0" xfId="7" applyBorder="1"/>
    <xf numFmtId="0" fontId="12" fillId="8" borderId="0" xfId="7" applyBorder="1" applyAlignment="1">
      <alignment horizontal="center"/>
    </xf>
    <xf numFmtId="170" fontId="12" fillId="8" borderId="0" xfId="7" applyNumberFormat="1" applyBorder="1"/>
    <xf numFmtId="10" fontId="12" fillId="8" borderId="0" xfId="7" applyNumberFormat="1" applyBorder="1"/>
    <xf numFmtId="167" fontId="13" fillId="0" borderId="0" xfId="1" applyNumberFormat="1" applyFont="1"/>
    <xf numFmtId="0" fontId="13" fillId="0" borderId="0" xfId="0" applyFont="1" applyAlignment="1">
      <alignment horizontal="center"/>
    </xf>
    <xf numFmtId="167" fontId="13" fillId="2" borderId="0" xfId="1" applyNumberFormat="1" applyFont="1" applyFill="1"/>
    <xf numFmtId="167" fontId="13" fillId="0" borderId="0" xfId="1" applyNumberFormat="1" applyFont="1" applyFill="1"/>
    <xf numFmtId="167" fontId="13" fillId="4" borderId="0" xfId="1" applyNumberFormat="1" applyFont="1" applyFill="1"/>
    <xf numFmtId="167" fontId="13" fillId="6" borderId="0" xfId="1" applyNumberFormat="1" applyFont="1" applyFill="1"/>
    <xf numFmtId="37" fontId="12" fillId="8" borderId="0" xfId="7" applyNumberFormat="1" applyBorder="1"/>
    <xf numFmtId="171" fontId="0" fillId="2" borderId="0" xfId="1" applyNumberFormat="1" applyFont="1" applyFill="1"/>
    <xf numFmtId="37" fontId="6" fillId="7" borderId="1" xfId="6" applyNumberFormat="1"/>
    <xf numFmtId="37" fontId="0" fillId="2" borderId="0" xfId="1" applyNumberFormat="1" applyFont="1" applyFill="1"/>
    <xf numFmtId="37" fontId="1" fillId="2" borderId="0" xfId="1" applyNumberFormat="1" applyFont="1" applyFill="1"/>
    <xf numFmtId="0" fontId="0" fillId="0" borderId="0" xfId="0" applyBorder="1" applyAlignment="1">
      <alignment horizontal="center"/>
    </xf>
    <xf numFmtId="167" fontId="0" fillId="0" borderId="0" xfId="1" applyNumberFormat="1" applyFont="1" applyBorder="1"/>
    <xf numFmtId="169" fontId="4" fillId="3" borderId="0" xfId="4" applyNumberFormat="1" applyBorder="1"/>
    <xf numFmtId="168" fontId="0" fillId="6" borderId="0" xfId="2" applyNumberFormat="1" applyFont="1" applyFill="1" applyBorder="1"/>
    <xf numFmtId="171" fontId="13" fillId="2" borderId="0" xfId="1" applyNumberFormat="1" applyFont="1" applyFill="1"/>
    <xf numFmtId="166" fontId="0" fillId="2" borderId="5" xfId="3" applyNumberFormat="1" applyFont="1" applyFill="1" applyBorder="1" applyAlignment="1">
      <alignment horizontal="right"/>
    </xf>
    <xf numFmtId="166" fontId="0" fillId="2" borderId="0" xfId="3" applyNumberFormat="1" applyFont="1" applyFill="1" applyBorder="1" applyAlignment="1">
      <alignment horizontal="right"/>
    </xf>
    <xf numFmtId="171" fontId="12" fillId="8" borderId="0" xfId="7" applyNumberFormat="1" applyBorder="1"/>
    <xf numFmtId="10" fontId="0" fillId="4" borderId="0" xfId="0" applyNumberFormat="1" applyFill="1" applyBorder="1" applyAlignment="1">
      <alignment horizontal="right"/>
    </xf>
    <xf numFmtId="169" fontId="4" fillId="3" borderId="0" xfId="4" applyNumberFormat="1" applyBorder="1" applyAlignment="1">
      <alignment horizontal="right"/>
    </xf>
    <xf numFmtId="0" fontId="0" fillId="0" borderId="0" xfId="0" applyAlignment="1">
      <alignment horizontal="center" wrapText="1"/>
    </xf>
    <xf numFmtId="166" fontId="0" fillId="0" borderId="0" xfId="3" applyNumberFormat="1" applyFont="1" applyAlignment="1">
      <alignment horizontal="center"/>
    </xf>
    <xf numFmtId="166" fontId="0" fillId="0" borderId="0" xfId="0" applyNumberFormat="1"/>
    <xf numFmtId="10" fontId="0" fillId="6" borderId="0" xfId="0" applyNumberFormat="1" applyFill="1" applyBorder="1" applyAlignment="1">
      <alignment horizontal="right"/>
    </xf>
    <xf numFmtId="166" fontId="0" fillId="0" borderId="0" xfId="0" applyNumberFormat="1" applyAlignment="1">
      <alignment horizontal="right"/>
    </xf>
    <xf numFmtId="170" fontId="7" fillId="6" borderId="0" xfId="1" applyNumberFormat="1" applyFont="1" applyFill="1"/>
    <xf numFmtId="0" fontId="7" fillId="6" borderId="0" xfId="0" applyFont="1" applyFill="1" applyBorder="1"/>
    <xf numFmtId="166" fontId="0" fillId="2" borderId="5" xfId="3" applyNumberFormat="1" applyFont="1" applyFill="1" applyBorder="1"/>
    <xf numFmtId="0" fontId="0" fillId="0" borderId="13" xfId="0" applyBorder="1"/>
    <xf numFmtId="166" fontId="0" fillId="0" borderId="13" xfId="0" applyNumberFormat="1" applyBorder="1"/>
    <xf numFmtId="0" fontId="0" fillId="0" borderId="0" xfId="0" applyAlignment="1">
      <alignment vertical="top" wrapText="1"/>
    </xf>
    <xf numFmtId="0" fontId="10" fillId="0" borderId="0"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9" xfId="0" applyFont="1" applyBorder="1" applyAlignment="1">
      <alignment horizontal="center" vertical="center" textRotation="90"/>
    </xf>
  </cellXfs>
  <cellStyles count="8">
    <cellStyle name="Accent2" xfId="7" builtinId="33"/>
    <cellStyle name="Bad" xfId="4" builtinId="27"/>
    <cellStyle name="Comma" xfId="1" builtinId="3"/>
    <cellStyle name="Currency" xfId="2" builtinId="4"/>
    <cellStyle name="Good" xfId="5" builtinId="26"/>
    <cellStyle name="Input" xfId="6" builtinId="20"/>
    <cellStyle name="Normal" xfId="0" builtinId="0"/>
    <cellStyle name="Percent" xfId="3" builtinId="5"/>
  </cellStyles>
  <dxfs count="38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40</xdr:row>
      <xdr:rowOff>0</xdr:rowOff>
    </xdr:from>
    <xdr:to>
      <xdr:col>11</xdr:col>
      <xdr:colOff>149188</xdr:colOff>
      <xdr:row>53</xdr:row>
      <xdr:rowOff>15332</xdr:rowOff>
    </xdr:to>
    <xdr:grpSp>
      <xdr:nvGrpSpPr>
        <xdr:cNvPr id="108" name="Group 107"/>
        <xdr:cNvGrpSpPr/>
      </xdr:nvGrpSpPr>
      <xdr:grpSpPr>
        <a:xfrm>
          <a:off x="5097780" y="7437120"/>
          <a:ext cx="2717128" cy="2408012"/>
          <a:chOff x="20678778" y="9686930"/>
          <a:chExt cx="2654263" cy="2510882"/>
        </a:xfrm>
      </xdr:grpSpPr>
      <xdr:cxnSp macro="">
        <xdr:nvCxnSpPr>
          <xdr:cNvPr id="109" name="Straight Connector 108"/>
          <xdr:cNvCxnSpPr/>
        </xdr:nvCxnSpPr>
        <xdr:spPr>
          <a:xfrm>
            <a:off x="20753666" y="10551747"/>
            <a:ext cx="2524813" cy="0"/>
          </a:xfrm>
          <a:prstGeom prst="line">
            <a:avLst/>
          </a:prstGeom>
        </xdr:spPr>
        <xdr:style>
          <a:lnRef idx="1">
            <a:schemeClr val="accent6"/>
          </a:lnRef>
          <a:fillRef idx="0">
            <a:schemeClr val="accent6"/>
          </a:fillRef>
          <a:effectRef idx="0">
            <a:schemeClr val="accent6"/>
          </a:effectRef>
          <a:fontRef idx="minor">
            <a:schemeClr val="tx1"/>
          </a:fontRef>
        </xdr:style>
      </xdr:cxnSp>
      <xdr:cxnSp macro="">
        <xdr:nvCxnSpPr>
          <xdr:cNvPr id="110" name="Straight Connector 109"/>
          <xdr:cNvCxnSpPr/>
        </xdr:nvCxnSpPr>
        <xdr:spPr>
          <a:xfrm>
            <a:off x="21964737" y="10551747"/>
            <a:ext cx="230" cy="7712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Straight Connector 110"/>
          <xdr:cNvCxnSpPr/>
        </xdr:nvCxnSpPr>
        <xdr:spPr>
          <a:xfrm flipH="1">
            <a:off x="20914141" y="10098383"/>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2" name="Straight Connector 111"/>
          <xdr:cNvCxnSpPr/>
        </xdr:nvCxnSpPr>
        <xdr:spPr>
          <a:xfrm flipH="1">
            <a:off x="21555075" y="11315700"/>
            <a:ext cx="0" cy="66675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3" name="Straight Connector 112"/>
          <xdr:cNvCxnSpPr/>
        </xdr:nvCxnSpPr>
        <xdr:spPr>
          <a:xfrm flipH="1">
            <a:off x="21965791" y="10101645"/>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4" name="Straight Connector 113"/>
          <xdr:cNvCxnSpPr/>
        </xdr:nvCxnSpPr>
        <xdr:spPr>
          <a:xfrm flipH="1">
            <a:off x="23076280" y="1010490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5" name="Group 114"/>
          <xdr:cNvGrpSpPr/>
        </xdr:nvGrpSpPr>
        <xdr:grpSpPr>
          <a:xfrm>
            <a:off x="20678778" y="9698527"/>
            <a:ext cx="492125" cy="403785"/>
            <a:chOff x="20678778" y="9698527"/>
            <a:chExt cx="492125" cy="403785"/>
          </a:xfrm>
        </xdr:grpSpPr>
        <xdr:sp macro="" textlink="">
          <xdr:nvSpPr>
            <xdr:cNvPr id="135" name="Oval 134"/>
            <xdr:cNvSpPr/>
          </xdr:nvSpPr>
          <xdr:spPr>
            <a:xfrm>
              <a:off x="20695688" y="9698527"/>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6" name="TextBox 135"/>
            <xdr:cNvSpPr txBox="1"/>
          </xdr:nvSpPr>
          <xdr:spPr>
            <a:xfrm>
              <a:off x="20678778" y="9779834"/>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1</a:t>
              </a:r>
            </a:p>
          </xdr:txBody>
        </xdr:sp>
      </xdr:grpSp>
      <xdr:grpSp>
        <xdr:nvGrpSpPr>
          <xdr:cNvPr id="116" name="Group 115"/>
          <xdr:cNvGrpSpPr/>
        </xdr:nvGrpSpPr>
        <xdr:grpSpPr>
          <a:xfrm>
            <a:off x="21730426" y="9688052"/>
            <a:ext cx="492125" cy="403785"/>
            <a:chOff x="21730426" y="9688052"/>
            <a:chExt cx="492125" cy="403785"/>
          </a:xfrm>
        </xdr:grpSpPr>
        <xdr:sp macro="" textlink="">
          <xdr:nvSpPr>
            <xdr:cNvPr id="133" name="Oval 132"/>
            <xdr:cNvSpPr/>
          </xdr:nvSpPr>
          <xdr:spPr>
            <a:xfrm>
              <a:off x="21742620" y="9688052"/>
              <a:ext cx="438633"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4" name="TextBox 133"/>
            <xdr:cNvSpPr txBox="1">
              <a:spLocks noChangeAspect="1"/>
            </xdr:cNvSpPr>
          </xdr:nvSpPr>
          <xdr:spPr>
            <a:xfrm>
              <a:off x="21730426" y="9766787"/>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a:t>
              </a:r>
              <a:r>
                <a:rPr lang="en-US" sz="1100" b="1">
                  <a:solidFill>
                    <a:schemeClr val="bg1"/>
                  </a:solidFill>
                </a:rPr>
                <a:t>2</a:t>
              </a:r>
            </a:p>
          </xdr:txBody>
        </xdr:sp>
      </xdr:grpSp>
      <xdr:grpSp>
        <xdr:nvGrpSpPr>
          <xdr:cNvPr id="117" name="Group 116"/>
          <xdr:cNvGrpSpPr/>
        </xdr:nvGrpSpPr>
        <xdr:grpSpPr>
          <a:xfrm>
            <a:off x="22840916" y="9686930"/>
            <a:ext cx="492125" cy="403785"/>
            <a:chOff x="22840916" y="9686930"/>
            <a:chExt cx="492125" cy="403785"/>
          </a:xfrm>
        </xdr:grpSpPr>
        <xdr:sp macro="" textlink="">
          <xdr:nvSpPr>
            <xdr:cNvPr id="131" name="Oval 130"/>
            <xdr:cNvSpPr/>
          </xdr:nvSpPr>
          <xdr:spPr>
            <a:xfrm>
              <a:off x="22860184" y="9686930"/>
              <a:ext cx="429660"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2" name="TextBox 131"/>
            <xdr:cNvSpPr txBox="1"/>
          </xdr:nvSpPr>
          <xdr:spPr>
            <a:xfrm>
              <a:off x="22840916" y="9764612"/>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a:t>
              </a:r>
              <a:r>
                <a:rPr lang="en-US" sz="1100" b="1">
                  <a:solidFill>
                    <a:schemeClr val="bg1"/>
                  </a:solidFill>
                </a:rPr>
                <a:t>3</a:t>
              </a:r>
            </a:p>
          </xdr:txBody>
        </xdr:sp>
      </xdr:grpSp>
      <xdr:grpSp>
        <xdr:nvGrpSpPr>
          <xdr:cNvPr id="118" name="Group 117"/>
          <xdr:cNvGrpSpPr/>
        </xdr:nvGrpSpPr>
        <xdr:grpSpPr>
          <a:xfrm>
            <a:off x="20678778" y="11794027"/>
            <a:ext cx="492125" cy="403785"/>
            <a:chOff x="20669253" y="11498752"/>
            <a:chExt cx="492125" cy="403785"/>
          </a:xfrm>
        </xdr:grpSpPr>
        <xdr:sp macro="" textlink="">
          <xdr:nvSpPr>
            <xdr:cNvPr id="129" name="Oval 128"/>
            <xdr:cNvSpPr/>
          </xdr:nvSpPr>
          <xdr:spPr>
            <a:xfrm>
              <a:off x="20686163" y="1149875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0" name="TextBox 129"/>
            <xdr:cNvSpPr txBox="1"/>
          </xdr:nvSpPr>
          <xdr:spPr>
            <a:xfrm>
              <a:off x="20669253" y="1158005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4</a:t>
              </a:r>
            </a:p>
          </xdr:txBody>
        </xdr:sp>
      </xdr:grpSp>
      <xdr:grpSp>
        <xdr:nvGrpSpPr>
          <xdr:cNvPr id="119" name="Group 118"/>
          <xdr:cNvGrpSpPr/>
        </xdr:nvGrpSpPr>
        <xdr:grpSpPr>
          <a:xfrm>
            <a:off x="21957231" y="11794027"/>
            <a:ext cx="492125" cy="403785"/>
            <a:chOff x="22202778" y="11479702"/>
            <a:chExt cx="492125" cy="403785"/>
          </a:xfrm>
        </xdr:grpSpPr>
        <xdr:sp macro="" textlink="">
          <xdr:nvSpPr>
            <xdr:cNvPr id="127" name="Oval 126"/>
            <xdr:cNvSpPr/>
          </xdr:nvSpPr>
          <xdr:spPr>
            <a:xfrm>
              <a:off x="22219688" y="1147970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8" name="TextBox 127"/>
            <xdr:cNvSpPr txBox="1"/>
          </xdr:nvSpPr>
          <xdr:spPr>
            <a:xfrm>
              <a:off x="22202778" y="1156100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5</a:t>
              </a:r>
            </a:p>
          </xdr:txBody>
        </xdr:sp>
      </xdr:grpSp>
      <xdr:grpSp>
        <xdr:nvGrpSpPr>
          <xdr:cNvPr id="120" name="Group 119"/>
          <xdr:cNvGrpSpPr/>
        </xdr:nvGrpSpPr>
        <xdr:grpSpPr>
          <a:xfrm>
            <a:off x="22840916" y="11794027"/>
            <a:ext cx="492125" cy="403785"/>
            <a:chOff x="22850478" y="11517802"/>
            <a:chExt cx="492125" cy="403785"/>
          </a:xfrm>
        </xdr:grpSpPr>
        <xdr:sp macro="" textlink="">
          <xdr:nvSpPr>
            <xdr:cNvPr id="125" name="Oval 124"/>
            <xdr:cNvSpPr/>
          </xdr:nvSpPr>
          <xdr:spPr>
            <a:xfrm>
              <a:off x="22867388" y="1151780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6" name="TextBox 125"/>
            <xdr:cNvSpPr txBox="1"/>
          </xdr:nvSpPr>
          <xdr:spPr>
            <a:xfrm>
              <a:off x="22850478" y="1159910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6</a:t>
              </a:r>
            </a:p>
          </xdr:txBody>
        </xdr:sp>
      </xdr:grpSp>
      <xdr:cxnSp macro="">
        <xdr:nvCxnSpPr>
          <xdr:cNvPr id="121" name="Straight Connector 120"/>
          <xdr:cNvCxnSpPr/>
        </xdr:nvCxnSpPr>
        <xdr:spPr>
          <a:xfrm>
            <a:off x="20753666" y="11313747"/>
            <a:ext cx="2524813" cy="0"/>
          </a:xfrm>
          <a:prstGeom prst="line">
            <a:avLst/>
          </a:prstGeom>
        </xdr:spPr>
        <xdr:style>
          <a:lnRef idx="1">
            <a:schemeClr val="accent6"/>
          </a:lnRef>
          <a:fillRef idx="0">
            <a:schemeClr val="accent6"/>
          </a:fillRef>
          <a:effectRef idx="0">
            <a:schemeClr val="accent6"/>
          </a:effectRef>
          <a:fontRef idx="minor">
            <a:schemeClr val="tx1"/>
          </a:fontRef>
        </xdr:style>
      </xdr:cxnSp>
      <xdr:cxnSp macro="">
        <xdr:nvCxnSpPr>
          <xdr:cNvPr id="122" name="Straight Connector 121"/>
          <xdr:cNvCxnSpPr/>
        </xdr:nvCxnSpPr>
        <xdr:spPr>
          <a:xfrm flipH="1">
            <a:off x="20923235"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3" name="Straight Connector 122"/>
          <xdr:cNvCxnSpPr/>
        </xdr:nvCxnSpPr>
        <xdr:spPr>
          <a:xfrm flipH="1">
            <a:off x="22201688"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4" name="Straight Connector 123"/>
          <xdr:cNvCxnSpPr/>
        </xdr:nvCxnSpPr>
        <xdr:spPr>
          <a:xfrm flipH="1">
            <a:off x="23085373"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39</xdr:row>
      <xdr:rowOff>0</xdr:rowOff>
    </xdr:from>
    <xdr:to>
      <xdr:col>11</xdr:col>
      <xdr:colOff>149188</xdr:colOff>
      <xdr:row>52</xdr:row>
      <xdr:rowOff>15332</xdr:rowOff>
    </xdr:to>
    <xdr:grpSp>
      <xdr:nvGrpSpPr>
        <xdr:cNvPr id="2" name="Group 1"/>
        <xdr:cNvGrpSpPr/>
      </xdr:nvGrpSpPr>
      <xdr:grpSpPr>
        <a:xfrm>
          <a:off x="5091545" y="7079673"/>
          <a:ext cx="2733061" cy="2384459"/>
          <a:chOff x="20678778" y="9686930"/>
          <a:chExt cx="2654263" cy="2510882"/>
        </a:xfrm>
      </xdr:grpSpPr>
      <xdr:cxnSp macro="">
        <xdr:nvCxnSpPr>
          <xdr:cNvPr id="3" name="Straight Connector 2"/>
          <xdr:cNvCxnSpPr/>
        </xdr:nvCxnSpPr>
        <xdr:spPr>
          <a:xfrm>
            <a:off x="20753666" y="10551747"/>
            <a:ext cx="2524813" cy="0"/>
          </a:xfrm>
          <a:prstGeom prst="line">
            <a:avLst/>
          </a:prstGeom>
        </xdr:spPr>
        <xdr:style>
          <a:lnRef idx="1">
            <a:schemeClr val="accent6"/>
          </a:lnRef>
          <a:fillRef idx="0">
            <a:schemeClr val="accent6"/>
          </a:fillRef>
          <a:effectRef idx="0">
            <a:schemeClr val="accent6"/>
          </a:effectRef>
          <a:fontRef idx="minor">
            <a:schemeClr val="tx1"/>
          </a:fontRef>
        </xdr:style>
      </xdr:cxnSp>
      <xdr:cxnSp macro="">
        <xdr:nvCxnSpPr>
          <xdr:cNvPr id="4" name="Straight Connector 3"/>
          <xdr:cNvCxnSpPr/>
        </xdr:nvCxnSpPr>
        <xdr:spPr>
          <a:xfrm>
            <a:off x="21964737" y="10551747"/>
            <a:ext cx="230" cy="77127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Straight Connector 4"/>
          <xdr:cNvCxnSpPr/>
        </xdr:nvCxnSpPr>
        <xdr:spPr>
          <a:xfrm flipH="1">
            <a:off x="20914141" y="10098383"/>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a:off x="21555075" y="11315700"/>
            <a:ext cx="0" cy="66675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21965791" y="10101645"/>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23076280" y="1010490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9" name="Group 8"/>
          <xdr:cNvGrpSpPr/>
        </xdr:nvGrpSpPr>
        <xdr:grpSpPr>
          <a:xfrm>
            <a:off x="20678778" y="9698527"/>
            <a:ext cx="492125" cy="403785"/>
            <a:chOff x="20678778" y="9698527"/>
            <a:chExt cx="492125" cy="403785"/>
          </a:xfrm>
        </xdr:grpSpPr>
        <xdr:sp macro="" textlink="">
          <xdr:nvSpPr>
            <xdr:cNvPr id="29" name="Oval 28"/>
            <xdr:cNvSpPr/>
          </xdr:nvSpPr>
          <xdr:spPr>
            <a:xfrm>
              <a:off x="20695688" y="9698527"/>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TextBox 29"/>
            <xdr:cNvSpPr txBox="1"/>
          </xdr:nvSpPr>
          <xdr:spPr>
            <a:xfrm>
              <a:off x="20678778" y="9779834"/>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1</a:t>
              </a:r>
            </a:p>
          </xdr:txBody>
        </xdr:sp>
      </xdr:grpSp>
      <xdr:grpSp>
        <xdr:nvGrpSpPr>
          <xdr:cNvPr id="10" name="Group 9"/>
          <xdr:cNvGrpSpPr/>
        </xdr:nvGrpSpPr>
        <xdr:grpSpPr>
          <a:xfrm>
            <a:off x="21730426" y="9688052"/>
            <a:ext cx="492125" cy="403785"/>
            <a:chOff x="21730426" y="9688052"/>
            <a:chExt cx="492125" cy="403785"/>
          </a:xfrm>
        </xdr:grpSpPr>
        <xdr:sp macro="" textlink="">
          <xdr:nvSpPr>
            <xdr:cNvPr id="27" name="Oval 26"/>
            <xdr:cNvSpPr/>
          </xdr:nvSpPr>
          <xdr:spPr>
            <a:xfrm>
              <a:off x="21742620" y="9688052"/>
              <a:ext cx="438633"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TextBox 27"/>
            <xdr:cNvSpPr txBox="1">
              <a:spLocks noChangeAspect="1"/>
            </xdr:cNvSpPr>
          </xdr:nvSpPr>
          <xdr:spPr>
            <a:xfrm>
              <a:off x="21730426" y="9766787"/>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a:t>
              </a:r>
              <a:r>
                <a:rPr lang="en-US" sz="1100" b="1">
                  <a:solidFill>
                    <a:schemeClr val="bg1"/>
                  </a:solidFill>
                </a:rPr>
                <a:t>2</a:t>
              </a:r>
            </a:p>
          </xdr:txBody>
        </xdr:sp>
      </xdr:grpSp>
      <xdr:grpSp>
        <xdr:nvGrpSpPr>
          <xdr:cNvPr id="11" name="Group 10"/>
          <xdr:cNvGrpSpPr/>
        </xdr:nvGrpSpPr>
        <xdr:grpSpPr>
          <a:xfrm>
            <a:off x="22840916" y="9686930"/>
            <a:ext cx="492125" cy="403785"/>
            <a:chOff x="22840916" y="9686930"/>
            <a:chExt cx="492125" cy="403785"/>
          </a:xfrm>
        </xdr:grpSpPr>
        <xdr:sp macro="" textlink="">
          <xdr:nvSpPr>
            <xdr:cNvPr id="25" name="Oval 24"/>
            <xdr:cNvSpPr/>
          </xdr:nvSpPr>
          <xdr:spPr>
            <a:xfrm>
              <a:off x="22860184" y="9686930"/>
              <a:ext cx="429660"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TextBox 25"/>
            <xdr:cNvSpPr txBox="1"/>
          </xdr:nvSpPr>
          <xdr:spPr>
            <a:xfrm>
              <a:off x="22840916" y="9764612"/>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a:t>
              </a:r>
              <a:r>
                <a:rPr lang="en-US" sz="1100" b="1">
                  <a:solidFill>
                    <a:schemeClr val="bg1"/>
                  </a:solidFill>
                </a:rPr>
                <a:t>3</a:t>
              </a:r>
            </a:p>
          </xdr:txBody>
        </xdr:sp>
      </xdr:grpSp>
      <xdr:grpSp>
        <xdr:nvGrpSpPr>
          <xdr:cNvPr id="12" name="Group 11"/>
          <xdr:cNvGrpSpPr/>
        </xdr:nvGrpSpPr>
        <xdr:grpSpPr>
          <a:xfrm>
            <a:off x="20678778" y="11794027"/>
            <a:ext cx="492125" cy="403785"/>
            <a:chOff x="20669253" y="11498752"/>
            <a:chExt cx="492125" cy="403785"/>
          </a:xfrm>
        </xdr:grpSpPr>
        <xdr:sp macro="" textlink="">
          <xdr:nvSpPr>
            <xdr:cNvPr id="23" name="Oval 22"/>
            <xdr:cNvSpPr/>
          </xdr:nvSpPr>
          <xdr:spPr>
            <a:xfrm>
              <a:off x="20686163" y="1149875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TextBox 23"/>
            <xdr:cNvSpPr txBox="1"/>
          </xdr:nvSpPr>
          <xdr:spPr>
            <a:xfrm>
              <a:off x="20669253" y="1158005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4</a:t>
              </a:r>
            </a:p>
          </xdr:txBody>
        </xdr:sp>
      </xdr:grpSp>
      <xdr:grpSp>
        <xdr:nvGrpSpPr>
          <xdr:cNvPr id="13" name="Group 12"/>
          <xdr:cNvGrpSpPr/>
        </xdr:nvGrpSpPr>
        <xdr:grpSpPr>
          <a:xfrm>
            <a:off x="21957231" y="11794027"/>
            <a:ext cx="492125" cy="403785"/>
            <a:chOff x="22202778" y="11479702"/>
            <a:chExt cx="492125" cy="403785"/>
          </a:xfrm>
        </xdr:grpSpPr>
        <xdr:sp macro="" textlink="">
          <xdr:nvSpPr>
            <xdr:cNvPr id="21" name="Oval 20"/>
            <xdr:cNvSpPr/>
          </xdr:nvSpPr>
          <xdr:spPr>
            <a:xfrm>
              <a:off x="22219688" y="1147970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2" name="TextBox 21"/>
            <xdr:cNvSpPr txBox="1"/>
          </xdr:nvSpPr>
          <xdr:spPr>
            <a:xfrm>
              <a:off x="22202778" y="1156100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5</a:t>
              </a:r>
            </a:p>
          </xdr:txBody>
        </xdr:sp>
      </xdr:grpSp>
      <xdr:grpSp>
        <xdr:nvGrpSpPr>
          <xdr:cNvPr id="14" name="Group 13"/>
          <xdr:cNvGrpSpPr/>
        </xdr:nvGrpSpPr>
        <xdr:grpSpPr>
          <a:xfrm>
            <a:off x="22840916" y="11794027"/>
            <a:ext cx="492125" cy="403785"/>
            <a:chOff x="22850478" y="11517802"/>
            <a:chExt cx="492125" cy="403785"/>
          </a:xfrm>
        </xdr:grpSpPr>
        <xdr:sp macro="" textlink="">
          <xdr:nvSpPr>
            <xdr:cNvPr id="19" name="Oval 18"/>
            <xdr:cNvSpPr/>
          </xdr:nvSpPr>
          <xdr:spPr>
            <a:xfrm>
              <a:off x="22867388" y="11517802"/>
              <a:ext cx="434434" cy="40378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TextBox 19"/>
            <xdr:cNvSpPr txBox="1"/>
          </xdr:nvSpPr>
          <xdr:spPr>
            <a:xfrm>
              <a:off x="22850478" y="11599109"/>
              <a:ext cx="492125" cy="28267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bg1"/>
                  </a:solidFill>
                </a:rPr>
                <a:t>Unit 6</a:t>
              </a:r>
            </a:p>
          </xdr:txBody>
        </xdr:sp>
      </xdr:grpSp>
      <xdr:cxnSp macro="">
        <xdr:nvCxnSpPr>
          <xdr:cNvPr id="15" name="Straight Connector 14"/>
          <xdr:cNvCxnSpPr/>
        </xdr:nvCxnSpPr>
        <xdr:spPr>
          <a:xfrm>
            <a:off x="20753666" y="11313747"/>
            <a:ext cx="2524813" cy="0"/>
          </a:xfrm>
          <a:prstGeom prst="line">
            <a:avLst/>
          </a:prstGeom>
        </xdr:spPr>
        <xdr:style>
          <a:lnRef idx="1">
            <a:schemeClr val="accent6"/>
          </a:lnRef>
          <a:fillRef idx="0">
            <a:schemeClr val="accent6"/>
          </a:fillRef>
          <a:effectRef idx="0">
            <a:schemeClr val="accent6"/>
          </a:effectRef>
          <a:fontRef idx="minor">
            <a:schemeClr val="tx1"/>
          </a:fontRef>
        </xdr:style>
      </xdr:cxnSp>
      <xdr:cxnSp macro="">
        <xdr:nvCxnSpPr>
          <xdr:cNvPr id="16" name="Straight Connector 15"/>
          <xdr:cNvCxnSpPr/>
        </xdr:nvCxnSpPr>
        <xdr:spPr>
          <a:xfrm flipH="1">
            <a:off x="20923235"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H="1">
            <a:off x="22201688"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H="1">
            <a:off x="23085373" y="11313747"/>
            <a:ext cx="3210" cy="453364"/>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M56"/>
  <sheetViews>
    <sheetView showGridLines="0" tabSelected="1"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4.4" x14ac:dyDescent="0.3"/>
  <cols>
    <col min="1" max="1" width="2.44140625" customWidth="1"/>
    <col min="2" max="2" width="3.6640625" bestFit="1" customWidth="1"/>
    <col min="3" max="3" width="55.5546875" bestFit="1" customWidth="1"/>
    <col min="4" max="4" width="5.6640625" style="11" bestFit="1" customWidth="1"/>
    <col min="5" max="5" width="7" bestFit="1" customWidth="1"/>
    <col min="6" max="8" width="6.109375" bestFit="1" customWidth="1"/>
    <col min="9" max="9" width="6.88671875" bestFit="1" customWidth="1"/>
    <col min="10" max="11" width="6.109375" customWidth="1"/>
    <col min="12" max="12" width="7" bestFit="1" customWidth="1"/>
    <col min="13" max="13" width="6.109375" bestFit="1" customWidth="1"/>
    <col min="14" max="14" width="6.88671875" bestFit="1" customWidth="1"/>
    <col min="15" max="15" width="6.109375" bestFit="1" customWidth="1"/>
    <col min="16" max="18" width="6.88671875" bestFit="1" customWidth="1"/>
    <col min="19" max="19" width="7" bestFit="1" customWidth="1"/>
    <col min="20" max="22" width="6.109375" bestFit="1" customWidth="1"/>
    <col min="23" max="25" width="6.109375" customWidth="1"/>
    <col min="26" max="26" width="2.44140625" customWidth="1"/>
    <col min="27" max="27" width="9" bestFit="1" customWidth="1"/>
    <col min="28" max="30" width="8" bestFit="1" customWidth="1"/>
    <col min="31" max="31" width="8" customWidth="1"/>
    <col min="32" max="33" width="7" bestFit="1" customWidth="1"/>
    <col min="34" max="34" width="2.44140625" customWidth="1"/>
    <col min="35" max="35" width="8" bestFit="1" customWidth="1"/>
    <col min="36" max="36" width="10.6640625" bestFit="1" customWidth="1"/>
    <col min="37" max="37" width="6.88671875" bestFit="1" customWidth="1"/>
    <col min="38" max="38" width="10.6640625" bestFit="1" customWidth="1"/>
    <col min="39" max="39" width="7.109375" bestFit="1" customWidth="1"/>
    <col min="40" max="40" width="10.6640625" bestFit="1" customWidth="1"/>
    <col min="41" max="41" width="7.109375" bestFit="1" customWidth="1"/>
    <col min="42" max="42" width="10.6640625" bestFit="1" customWidth="1"/>
    <col min="43" max="43" width="7.109375" bestFit="1" customWidth="1"/>
    <col min="44" max="44" width="10.6640625" bestFit="1" customWidth="1"/>
    <col min="45" max="45" width="7.88671875" bestFit="1" customWidth="1"/>
    <col min="46" max="46" width="10.6640625" bestFit="1" customWidth="1"/>
    <col min="47" max="47" width="7.109375" bestFit="1" customWidth="1"/>
    <col min="48" max="48" width="10.6640625" bestFit="1" customWidth="1"/>
    <col min="49" max="49" width="7.109375" bestFit="1" customWidth="1"/>
    <col min="50" max="50" width="10.6640625" bestFit="1" customWidth="1"/>
    <col min="51" max="51" width="7.109375" bestFit="1" customWidth="1"/>
    <col min="52" max="52" width="10.6640625" bestFit="1" customWidth="1"/>
    <col min="53" max="53" width="7.109375" bestFit="1" customWidth="1"/>
    <col min="54" max="54" width="10.6640625" bestFit="1" customWidth="1"/>
    <col min="55" max="55" width="7.109375" bestFit="1" customWidth="1"/>
    <col min="56" max="56" width="10.6640625" bestFit="1" customWidth="1"/>
    <col min="57" max="57" width="7.109375" bestFit="1" customWidth="1"/>
    <col min="58" max="58" width="10.6640625" bestFit="1" customWidth="1"/>
    <col min="59" max="59" width="7.88671875" bestFit="1" customWidth="1"/>
    <col min="60" max="60" width="10.6640625" bestFit="1" customWidth="1"/>
    <col min="61" max="61" width="7.88671875" bestFit="1" customWidth="1"/>
    <col min="62" max="62" width="10.6640625" bestFit="1" customWidth="1"/>
    <col min="63" max="63" width="6.109375" bestFit="1" customWidth="1"/>
    <col min="64" max="64" width="10.6640625" bestFit="1" customWidth="1"/>
    <col min="65" max="65" width="2.5546875" customWidth="1"/>
  </cols>
  <sheetData>
    <row r="1" spans="1:65" ht="15" x14ac:dyDescent="0.25">
      <c r="Z1" s="10"/>
      <c r="AH1" s="10"/>
    </row>
    <row r="2" spans="1:65" ht="14.4" customHeight="1" x14ac:dyDescent="0.3">
      <c r="A2" s="2"/>
      <c r="E2" s="73" t="s">
        <v>20</v>
      </c>
      <c r="F2" s="73"/>
      <c r="G2" s="73"/>
      <c r="H2" s="73"/>
      <c r="I2" s="73"/>
      <c r="J2" s="73"/>
      <c r="K2" s="73"/>
      <c r="L2" s="73" t="s">
        <v>21</v>
      </c>
      <c r="M2" s="73"/>
      <c r="N2" s="73"/>
      <c r="O2" s="73"/>
      <c r="P2" s="73"/>
      <c r="Q2" s="73"/>
      <c r="R2" s="73"/>
      <c r="S2" s="73" t="s">
        <v>22</v>
      </c>
      <c r="T2" s="73"/>
      <c r="U2" s="73"/>
      <c r="V2" s="73"/>
      <c r="W2" s="73"/>
      <c r="X2" s="73"/>
      <c r="Y2" s="73"/>
      <c r="Z2" s="32"/>
      <c r="AA2" s="77" t="s">
        <v>2</v>
      </c>
      <c r="AB2" s="77"/>
      <c r="AC2" s="77"/>
      <c r="AD2" s="77"/>
      <c r="AE2" s="77"/>
      <c r="AF2" s="77"/>
      <c r="AG2" s="77"/>
      <c r="AH2" s="32"/>
      <c r="AI2" s="78" t="s">
        <v>9</v>
      </c>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2"/>
    </row>
    <row r="3" spans="1:65" ht="15" x14ac:dyDescent="0.25">
      <c r="E3" s="23" t="s">
        <v>16</v>
      </c>
      <c r="F3" s="23" t="s">
        <v>4</v>
      </c>
      <c r="G3" s="23" t="s">
        <v>0</v>
      </c>
      <c r="H3" s="23" t="s">
        <v>5</v>
      </c>
      <c r="I3" s="23" t="s">
        <v>18</v>
      </c>
      <c r="J3" s="23" t="s">
        <v>19</v>
      </c>
      <c r="K3" s="23" t="s">
        <v>28</v>
      </c>
      <c r="L3" s="23" t="s">
        <v>1</v>
      </c>
      <c r="M3" s="23" t="s">
        <v>4</v>
      </c>
      <c r="N3" s="23" t="s">
        <v>0</v>
      </c>
      <c r="O3" s="23" t="s">
        <v>5</v>
      </c>
      <c r="P3" s="23" t="s">
        <v>18</v>
      </c>
      <c r="Q3" s="23" t="s">
        <v>19</v>
      </c>
      <c r="R3" s="23" t="s">
        <v>28</v>
      </c>
      <c r="S3" s="23" t="s">
        <v>16</v>
      </c>
      <c r="T3" s="23" t="s">
        <v>4</v>
      </c>
      <c r="U3" s="23" t="s">
        <v>0</v>
      </c>
      <c r="V3" s="23" t="s">
        <v>5</v>
      </c>
      <c r="W3" s="23" t="s">
        <v>18</v>
      </c>
      <c r="X3" s="23" t="s">
        <v>19</v>
      </c>
      <c r="Y3" s="23" t="s">
        <v>28</v>
      </c>
      <c r="Z3" s="10"/>
      <c r="AA3" s="29" t="s">
        <v>16</v>
      </c>
      <c r="AB3" s="29" t="s">
        <v>4</v>
      </c>
      <c r="AC3" s="29" t="s">
        <v>0</v>
      </c>
      <c r="AD3" s="29" t="s">
        <v>5</v>
      </c>
      <c r="AE3" s="29" t="s">
        <v>18</v>
      </c>
      <c r="AF3" s="29" t="s">
        <v>19</v>
      </c>
      <c r="AG3" s="29" t="s">
        <v>28</v>
      </c>
      <c r="AH3" s="10"/>
      <c r="AI3" s="33" t="s">
        <v>6</v>
      </c>
      <c r="AJ3" s="34" t="s">
        <v>70</v>
      </c>
      <c r="AK3" s="33" t="s">
        <v>7</v>
      </c>
      <c r="AL3" s="34" t="s">
        <v>70</v>
      </c>
      <c r="AM3" s="33" t="s">
        <v>29</v>
      </c>
      <c r="AN3" s="34" t="s">
        <v>70</v>
      </c>
      <c r="AO3" s="33" t="s">
        <v>30</v>
      </c>
      <c r="AP3" s="34" t="s">
        <v>70</v>
      </c>
      <c r="AQ3" s="33" t="s">
        <v>31</v>
      </c>
      <c r="AR3" s="34" t="s">
        <v>70</v>
      </c>
      <c r="AS3" s="33" t="s">
        <v>8</v>
      </c>
      <c r="AT3" s="34" t="s">
        <v>70</v>
      </c>
      <c r="AU3" s="33" t="s">
        <v>32</v>
      </c>
      <c r="AV3" s="34" t="s">
        <v>70</v>
      </c>
      <c r="AW3" s="33" t="s">
        <v>33</v>
      </c>
      <c r="AX3" s="34" t="s">
        <v>70</v>
      </c>
      <c r="AY3" s="33" t="s">
        <v>34</v>
      </c>
      <c r="AZ3" s="34" t="s">
        <v>70</v>
      </c>
      <c r="BA3" s="33" t="s">
        <v>36</v>
      </c>
      <c r="BB3" s="34" t="s">
        <v>70</v>
      </c>
      <c r="BC3" s="33" t="s">
        <v>35</v>
      </c>
      <c r="BD3" s="34" t="s">
        <v>70</v>
      </c>
      <c r="BE3" s="33" t="s">
        <v>37</v>
      </c>
      <c r="BF3" s="34" t="s">
        <v>70</v>
      </c>
      <c r="BG3" s="33" t="s">
        <v>38</v>
      </c>
      <c r="BH3" s="34" t="s">
        <v>70</v>
      </c>
      <c r="BI3" s="33" t="s">
        <v>39</v>
      </c>
      <c r="BJ3" s="34" t="s">
        <v>70</v>
      </c>
      <c r="BK3" s="33" t="s">
        <v>40</v>
      </c>
      <c r="BL3" s="34" t="s">
        <v>70</v>
      </c>
      <c r="BM3" s="11"/>
    </row>
    <row r="4" spans="1:65" ht="15" x14ac:dyDescent="0.25">
      <c r="C4" t="s">
        <v>47</v>
      </c>
      <c r="D4" s="11" t="s">
        <v>43</v>
      </c>
      <c r="E4" s="41">
        <v>50</v>
      </c>
      <c r="F4" s="3"/>
      <c r="G4" s="3"/>
      <c r="H4" s="3"/>
      <c r="I4" s="3"/>
      <c r="J4" s="76">
        <v>1</v>
      </c>
      <c r="K4" s="76">
        <v>2</v>
      </c>
      <c r="L4" s="41">
        <v>300</v>
      </c>
      <c r="M4" s="3"/>
      <c r="N4" s="3"/>
      <c r="O4" s="76">
        <v>1</v>
      </c>
      <c r="P4" s="3"/>
      <c r="Q4" s="76">
        <v>2</v>
      </c>
      <c r="R4" s="76">
        <v>3</v>
      </c>
      <c r="S4" s="41">
        <v>150</v>
      </c>
      <c r="T4" s="76">
        <v>1</v>
      </c>
      <c r="U4" s="3"/>
      <c r="V4" s="76">
        <v>2</v>
      </c>
      <c r="W4" s="3"/>
      <c r="X4" s="76">
        <v>3</v>
      </c>
      <c r="Y4" s="76">
        <v>4</v>
      </c>
      <c r="Z4" s="10"/>
      <c r="AA4" s="19">
        <f>E4+L4+S4</f>
        <v>500</v>
      </c>
      <c r="AB4" s="19">
        <f t="shared" ref="AB4:AG4" si="0">SUM($E4*(F5&gt;0),$L4*(M5&gt;0),$S4*(T5&gt;0))</f>
        <v>500</v>
      </c>
      <c r="AC4" s="19">
        <f t="shared" si="0"/>
        <v>500</v>
      </c>
      <c r="AD4" s="19">
        <f t="shared" si="0"/>
        <v>350</v>
      </c>
      <c r="AE4" s="19">
        <f t="shared" si="0"/>
        <v>450</v>
      </c>
      <c r="AF4" s="19">
        <f t="shared" si="0"/>
        <v>50</v>
      </c>
      <c r="AG4" s="19">
        <f t="shared" si="0"/>
        <v>50</v>
      </c>
      <c r="AH4" s="10"/>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row>
    <row r="5" spans="1:65" ht="15" x14ac:dyDescent="0.25">
      <c r="A5" s="18"/>
      <c r="B5" s="18"/>
      <c r="C5" t="s">
        <v>48</v>
      </c>
      <c r="D5" s="11" t="s">
        <v>44</v>
      </c>
      <c r="E5" s="20">
        <f>SUM(F5:K5)</f>
        <v>330</v>
      </c>
      <c r="F5" s="109">
        <v>100</v>
      </c>
      <c r="G5" s="109">
        <v>75</v>
      </c>
      <c r="H5" s="109">
        <v>125</v>
      </c>
      <c r="I5" s="109">
        <v>0</v>
      </c>
      <c r="J5" s="109">
        <v>25</v>
      </c>
      <c r="K5" s="109">
        <v>5</v>
      </c>
      <c r="L5" s="20">
        <f>SUM(M5:R5)</f>
        <v>250</v>
      </c>
      <c r="M5" s="109">
        <v>100</v>
      </c>
      <c r="N5" s="109">
        <v>75</v>
      </c>
      <c r="O5" s="109">
        <v>50</v>
      </c>
      <c r="P5" s="109">
        <v>25</v>
      </c>
      <c r="Q5" s="109">
        <v>0</v>
      </c>
      <c r="R5" s="109">
        <v>0</v>
      </c>
      <c r="S5" s="20">
        <f>SUM(T5:Y5)</f>
        <v>150</v>
      </c>
      <c r="T5" s="109">
        <v>25</v>
      </c>
      <c r="U5" s="109">
        <v>75</v>
      </c>
      <c r="V5" s="109">
        <v>0</v>
      </c>
      <c r="W5" s="109">
        <v>50</v>
      </c>
      <c r="X5" s="109">
        <v>0</v>
      </c>
      <c r="Y5" s="109">
        <v>0</v>
      </c>
      <c r="Z5" s="25"/>
      <c r="AA5" s="19"/>
      <c r="AB5" s="19"/>
      <c r="AC5" s="19"/>
      <c r="AD5" s="19"/>
      <c r="AE5" s="19"/>
      <c r="AF5" s="19"/>
      <c r="AG5" s="19"/>
      <c r="AH5" s="25"/>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18"/>
    </row>
    <row r="6" spans="1:65" ht="15" x14ac:dyDescent="0.25">
      <c r="A6" s="18"/>
      <c r="B6" s="18"/>
      <c r="C6" t="s">
        <v>49</v>
      </c>
      <c r="D6" s="11" t="s">
        <v>44</v>
      </c>
      <c r="E6" s="20">
        <f>SUM(F5:H5)</f>
        <v>300</v>
      </c>
      <c r="F6" s="20"/>
      <c r="G6" s="20"/>
      <c r="H6" s="20"/>
      <c r="I6" s="20"/>
      <c r="J6" s="20"/>
      <c r="K6" s="20"/>
      <c r="L6" s="20">
        <f>SUM(M5:O5)</f>
        <v>225</v>
      </c>
      <c r="M6" s="20"/>
      <c r="N6" s="20"/>
      <c r="O6" s="20"/>
      <c r="P6" s="20"/>
      <c r="Q6" s="20"/>
      <c r="R6" s="20"/>
      <c r="S6" s="20">
        <f>SUM(T5:V5)</f>
        <v>100</v>
      </c>
      <c r="T6" s="20"/>
      <c r="U6" s="20"/>
      <c r="V6" s="20"/>
      <c r="W6" s="20"/>
      <c r="X6" s="20"/>
      <c r="Y6" s="20"/>
      <c r="Z6" s="25"/>
      <c r="AA6" s="19"/>
      <c r="AB6" s="19"/>
      <c r="AC6" s="19"/>
      <c r="AD6" s="19"/>
      <c r="AE6" s="19"/>
      <c r="AF6" s="19"/>
      <c r="AG6" s="19"/>
      <c r="AH6" s="25"/>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18"/>
    </row>
    <row r="7" spans="1:65" ht="15" x14ac:dyDescent="0.25">
      <c r="A7" s="1"/>
      <c r="B7" s="1"/>
      <c r="C7" t="s">
        <v>51</v>
      </c>
      <c r="D7" s="11" t="s">
        <v>44</v>
      </c>
      <c r="E7" s="108">
        <f>E6^2*$J$47</f>
        <v>26.999999999999996</v>
      </c>
      <c r="F7" s="4"/>
      <c r="G7" s="4"/>
      <c r="H7" s="4"/>
      <c r="I7" s="4"/>
      <c r="J7" s="4"/>
      <c r="K7" s="4"/>
      <c r="L7" s="108">
        <f>L6^2*$J$47</f>
        <v>15.187499999999998</v>
      </c>
      <c r="M7" s="4"/>
      <c r="N7" s="4"/>
      <c r="O7" s="4"/>
      <c r="P7" s="4"/>
      <c r="Q7" s="4"/>
      <c r="R7" s="4"/>
      <c r="S7" s="108">
        <f>S6^2*$J$47</f>
        <v>2.9999999999999996</v>
      </c>
      <c r="T7" s="4"/>
      <c r="U7" s="4"/>
      <c r="V7" s="4"/>
      <c r="W7" s="4"/>
      <c r="X7" s="4"/>
      <c r="Y7" s="4"/>
      <c r="Z7" s="26"/>
      <c r="AA7" s="13"/>
      <c r="AB7" s="13"/>
      <c r="AC7" s="13"/>
      <c r="AD7" s="13"/>
      <c r="AE7" s="13"/>
      <c r="AF7" s="13"/>
      <c r="AG7" s="13"/>
      <c r="AH7" s="26"/>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1"/>
    </row>
    <row r="8" spans="1:65" s="94" customFormat="1" ht="15" x14ac:dyDescent="0.25">
      <c r="A8" s="101"/>
      <c r="B8" s="101"/>
      <c r="C8" s="94" t="s">
        <v>42</v>
      </c>
      <c r="D8" s="102" t="s">
        <v>44</v>
      </c>
      <c r="E8" s="116">
        <f>E5-E7</f>
        <v>303</v>
      </c>
      <c r="F8" s="103"/>
      <c r="G8" s="103"/>
      <c r="H8" s="103"/>
      <c r="I8" s="103"/>
      <c r="J8" s="103"/>
      <c r="K8" s="103"/>
      <c r="L8" s="116">
        <f>L5-L7</f>
        <v>234.8125</v>
      </c>
      <c r="M8" s="103"/>
      <c r="N8" s="103"/>
      <c r="O8" s="103"/>
      <c r="P8" s="103"/>
      <c r="Q8" s="103"/>
      <c r="R8" s="103"/>
      <c r="S8" s="116">
        <f>S5-S7</f>
        <v>147</v>
      </c>
      <c r="T8" s="103"/>
      <c r="U8" s="103"/>
      <c r="V8" s="103"/>
      <c r="W8" s="103"/>
      <c r="X8" s="103"/>
      <c r="Y8" s="103"/>
      <c r="Z8" s="104"/>
      <c r="AA8" s="105"/>
      <c r="AB8" s="105"/>
      <c r="AC8" s="105"/>
      <c r="AD8" s="105"/>
      <c r="AE8" s="105"/>
      <c r="AF8" s="105"/>
      <c r="AG8" s="105"/>
      <c r="AH8" s="104"/>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1"/>
    </row>
    <row r="9" spans="1:65" ht="15" x14ac:dyDescent="0.25">
      <c r="A9" s="18"/>
      <c r="B9" s="18"/>
      <c r="C9" t="s">
        <v>50</v>
      </c>
      <c r="D9" s="11" t="s">
        <v>44</v>
      </c>
      <c r="E9" s="20"/>
      <c r="F9" s="110">
        <f>G5+H5</f>
        <v>200</v>
      </c>
      <c r="G9" s="110">
        <f>F5+H5</f>
        <v>225</v>
      </c>
      <c r="H9" s="110">
        <f>F5+G5</f>
        <v>175</v>
      </c>
      <c r="I9" s="110">
        <f>F5+G5+H5</f>
        <v>300</v>
      </c>
      <c r="J9" s="110">
        <f>F5+G5+H5</f>
        <v>300</v>
      </c>
      <c r="K9" s="111">
        <f>F5+G5+H5</f>
        <v>300</v>
      </c>
      <c r="L9" s="20"/>
      <c r="M9" s="110">
        <f>N5+MIN(M5+O5,$K$40)</f>
        <v>200</v>
      </c>
      <c r="N9" s="110">
        <f>M5+MIN(O5+N5,$K$40)</f>
        <v>225</v>
      </c>
      <c r="O9" s="110">
        <f>M5+N5</f>
        <v>175</v>
      </c>
      <c r="P9" s="110">
        <f>M5+N5+MIN(O5+P5,$K$40)</f>
        <v>250</v>
      </c>
      <c r="Q9" s="111">
        <f>M5+N5+MIN(O5+Q5,$K$40)</f>
        <v>225</v>
      </c>
      <c r="R9" s="111">
        <f>M5+N5+MIN(O5+R5,$K$40)</f>
        <v>225</v>
      </c>
      <c r="S9" s="20"/>
      <c r="T9" s="110">
        <f>U5+MIN(V5+T5,$K$40)</f>
        <v>100</v>
      </c>
      <c r="U9" s="110">
        <f>MIN(T5+U5,$F$40)+MIN(V5+(T5+U5-MIN(T5+U5,$F$40)),$K$40)</f>
        <v>100</v>
      </c>
      <c r="V9" s="110">
        <f>MIN(T5+V5,$F$40)+U5</f>
        <v>100</v>
      </c>
      <c r="W9" s="110">
        <f>MIN(T5+W5,$F$40)+U5+MIN(V5+(T5+W5-MIN(T5+W5,$F$40)),$K$40)</f>
        <v>150</v>
      </c>
      <c r="X9" s="110">
        <f>MIN(T5+X5,$F$40)+U5+MIN(V5+(T5+X5-MIN(T5+X5,$F$40)),$K$40)</f>
        <v>100</v>
      </c>
      <c r="Y9" s="110">
        <f>MIN(T5+Y5,$F$40)+U5+MIN(V5+(T5+Y5-MIN(T5+Y5,$F$40)),$K$40)</f>
        <v>100</v>
      </c>
      <c r="Z9" s="25"/>
      <c r="AA9" s="19"/>
      <c r="AB9" s="19"/>
      <c r="AC9" s="19"/>
      <c r="AD9" s="19"/>
      <c r="AE9" s="19"/>
      <c r="AF9" s="19"/>
      <c r="AG9" s="19"/>
      <c r="AH9" s="25"/>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18"/>
    </row>
    <row r="10" spans="1:65" ht="15" x14ac:dyDescent="0.25">
      <c r="A10" s="1"/>
      <c r="B10" s="1"/>
      <c r="C10" t="s">
        <v>52</v>
      </c>
      <c r="D10" s="11" t="s">
        <v>44</v>
      </c>
      <c r="E10" s="4"/>
      <c r="F10" s="108">
        <f t="shared" ref="F10:K10" si="1">F9^2*$J$47</f>
        <v>11.999999999999998</v>
      </c>
      <c r="G10" s="108">
        <f t="shared" si="1"/>
        <v>15.187499999999998</v>
      </c>
      <c r="H10" s="108">
        <f t="shared" si="1"/>
        <v>9.1875</v>
      </c>
      <c r="I10" s="108">
        <f t="shared" si="1"/>
        <v>26.999999999999996</v>
      </c>
      <c r="J10" s="108">
        <f t="shared" si="1"/>
        <v>26.999999999999996</v>
      </c>
      <c r="K10" s="108">
        <f t="shared" si="1"/>
        <v>26.999999999999996</v>
      </c>
      <c r="L10" s="4"/>
      <c r="M10" s="108">
        <f t="shared" ref="M10:R10" si="2">M9^2*$J$47</f>
        <v>11.999999999999998</v>
      </c>
      <c r="N10" s="108">
        <f t="shared" si="2"/>
        <v>15.187499999999998</v>
      </c>
      <c r="O10" s="108">
        <f t="shared" si="2"/>
        <v>9.1875</v>
      </c>
      <c r="P10" s="108">
        <f t="shared" si="2"/>
        <v>18.75</v>
      </c>
      <c r="Q10" s="108">
        <f t="shared" si="2"/>
        <v>15.187499999999998</v>
      </c>
      <c r="R10" s="108">
        <f t="shared" si="2"/>
        <v>15.187499999999998</v>
      </c>
      <c r="S10" s="4"/>
      <c r="T10" s="108">
        <f t="shared" ref="T10:Y10" si="3">T9^2*$J$47</f>
        <v>2.9999999999999996</v>
      </c>
      <c r="U10" s="108">
        <f t="shared" si="3"/>
        <v>2.9999999999999996</v>
      </c>
      <c r="V10" s="108">
        <f t="shared" si="3"/>
        <v>2.9999999999999996</v>
      </c>
      <c r="W10" s="108">
        <f t="shared" si="3"/>
        <v>6.7499999999999991</v>
      </c>
      <c r="X10" s="108">
        <f t="shared" si="3"/>
        <v>2.9999999999999996</v>
      </c>
      <c r="Y10" s="108">
        <f t="shared" si="3"/>
        <v>2.9999999999999996</v>
      </c>
      <c r="Z10" s="26"/>
      <c r="AA10" s="13"/>
      <c r="AB10" s="13"/>
      <c r="AC10" s="13"/>
      <c r="AD10" s="13"/>
      <c r="AE10" s="13"/>
      <c r="AF10" s="13"/>
      <c r="AG10" s="13"/>
      <c r="AH10" s="26"/>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1"/>
    </row>
    <row r="11" spans="1:65" ht="15" x14ac:dyDescent="0.25">
      <c r="A11" s="1"/>
      <c r="B11" s="1"/>
      <c r="C11" t="s">
        <v>53</v>
      </c>
      <c r="D11" s="11" t="s">
        <v>44</v>
      </c>
      <c r="E11" s="4"/>
      <c r="F11" s="108">
        <f>E7-F10</f>
        <v>14.999999999999998</v>
      </c>
      <c r="G11" s="108">
        <f>E7-G10</f>
        <v>11.812499999999998</v>
      </c>
      <c r="H11" s="108">
        <f>E7-H10</f>
        <v>17.812499999999996</v>
      </c>
      <c r="I11" s="108">
        <f>E7-I10</f>
        <v>0</v>
      </c>
      <c r="J11" s="108">
        <f>E7-J10</f>
        <v>0</v>
      </c>
      <c r="K11" s="108">
        <f>E7-K10</f>
        <v>0</v>
      </c>
      <c r="L11" s="4"/>
      <c r="M11" s="108">
        <f>L7-M10</f>
        <v>3.1875</v>
      </c>
      <c r="N11" s="108">
        <f>L7-N10</f>
        <v>0</v>
      </c>
      <c r="O11" s="108">
        <f>L7-O10</f>
        <v>5.9999999999999982</v>
      </c>
      <c r="P11" s="108">
        <f>L7-P10</f>
        <v>-3.5625000000000018</v>
      </c>
      <c r="Q11" s="108">
        <f>L7-Q10</f>
        <v>0</v>
      </c>
      <c r="R11" s="108">
        <f>L7-R10</f>
        <v>0</v>
      </c>
      <c r="S11" s="4"/>
      <c r="T11" s="108">
        <f>S7-T10</f>
        <v>0</v>
      </c>
      <c r="U11" s="108">
        <f>S7-U10</f>
        <v>0</v>
      </c>
      <c r="V11" s="108">
        <f>S7-V10</f>
        <v>0</v>
      </c>
      <c r="W11" s="108">
        <f>S7-W10</f>
        <v>-3.7499999999999996</v>
      </c>
      <c r="X11" s="108">
        <f>S7-X10</f>
        <v>0</v>
      </c>
      <c r="Y11" s="108">
        <f>S7-Y10</f>
        <v>0</v>
      </c>
      <c r="Z11" s="26"/>
      <c r="AA11" s="13"/>
      <c r="AB11" s="13"/>
      <c r="AC11" s="13"/>
      <c r="AD11" s="13"/>
      <c r="AE11" s="13"/>
      <c r="AF11" s="13"/>
      <c r="AG11" s="13"/>
      <c r="AH11" s="26"/>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1"/>
    </row>
    <row r="12" spans="1:65" ht="15" x14ac:dyDescent="0.25">
      <c r="A12" s="1"/>
      <c r="B12" s="1"/>
      <c r="C12" s="97" t="s">
        <v>78</v>
      </c>
      <c r="D12" s="98" t="s">
        <v>43</v>
      </c>
      <c r="E12" s="4"/>
      <c r="F12" s="4"/>
      <c r="G12" s="4"/>
      <c r="H12" s="4"/>
      <c r="I12" s="4"/>
      <c r="J12" s="4"/>
      <c r="K12" s="4"/>
      <c r="L12" s="4"/>
      <c r="M12" s="4"/>
      <c r="N12" s="4"/>
      <c r="O12" s="4"/>
      <c r="P12" s="4"/>
      <c r="Q12" s="4"/>
      <c r="R12" s="4"/>
      <c r="S12" s="4"/>
      <c r="T12" s="4"/>
      <c r="U12" s="4"/>
      <c r="V12" s="4"/>
      <c r="W12" s="4"/>
      <c r="X12" s="4"/>
      <c r="Y12" s="4"/>
      <c r="Z12" s="26"/>
      <c r="AA12" s="99">
        <f>E4+L4+S4</f>
        <v>500</v>
      </c>
      <c r="AB12" s="13"/>
      <c r="AC12" s="13"/>
      <c r="AD12" s="13"/>
      <c r="AE12" s="13"/>
      <c r="AF12" s="13"/>
      <c r="AG12" s="13"/>
      <c r="AH12" s="26"/>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1"/>
    </row>
    <row r="13" spans="1:65" x14ac:dyDescent="0.3">
      <c r="A13" s="18"/>
      <c r="B13" s="18"/>
      <c r="C13" s="97" t="s">
        <v>75</v>
      </c>
      <c r="D13" s="98" t="s">
        <v>45</v>
      </c>
      <c r="E13" s="4"/>
      <c r="F13" s="4"/>
      <c r="G13" s="4"/>
      <c r="H13" s="4"/>
      <c r="I13" s="4"/>
      <c r="J13" s="4"/>
      <c r="K13" s="4"/>
      <c r="L13" s="4"/>
      <c r="M13" s="4"/>
      <c r="N13" s="4"/>
      <c r="O13" s="4"/>
      <c r="P13" s="4"/>
      <c r="Q13" s="4"/>
      <c r="R13" s="4"/>
      <c r="S13" s="4"/>
      <c r="T13" s="4"/>
      <c r="U13" s="4"/>
      <c r="V13" s="4"/>
      <c r="W13" s="4"/>
      <c r="X13" s="4"/>
      <c r="Y13" s="4"/>
      <c r="Z13" s="26"/>
      <c r="AA13" s="99">
        <f>SUM(AB13:AG13)</f>
        <v>114000</v>
      </c>
      <c r="AB13" s="107">
        <f>$E$4*F5+$L$4*M5+$S$4*T5</f>
        <v>38750</v>
      </c>
      <c r="AC13" s="107">
        <f t="shared" ref="AC13:AF13" si="4">$E$4*G5+$L$4*N5+$S$4*U5</f>
        <v>37500</v>
      </c>
      <c r="AD13" s="107">
        <f t="shared" si="4"/>
        <v>21250</v>
      </c>
      <c r="AE13" s="107">
        <f t="shared" si="4"/>
        <v>15000</v>
      </c>
      <c r="AF13" s="107">
        <f t="shared" si="4"/>
        <v>1250</v>
      </c>
      <c r="AG13" s="107">
        <f>$E$4*K5+$L$4*R5+$S$4*Y5</f>
        <v>250</v>
      </c>
      <c r="AH13" s="25"/>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18"/>
    </row>
    <row r="14" spans="1:65" x14ac:dyDescent="0.3">
      <c r="A14" s="18"/>
      <c r="B14" s="18"/>
      <c r="C14" s="97" t="s">
        <v>88</v>
      </c>
      <c r="D14" s="98" t="s">
        <v>44</v>
      </c>
      <c r="E14" s="4"/>
      <c r="F14" s="4"/>
      <c r="G14" s="4"/>
      <c r="H14" s="4"/>
      <c r="I14" s="4"/>
      <c r="J14" s="4"/>
      <c r="K14" s="4"/>
      <c r="L14" s="4"/>
      <c r="M14" s="4"/>
      <c r="N14" s="4"/>
      <c r="O14" s="4"/>
      <c r="P14" s="4"/>
      <c r="Q14" s="4"/>
      <c r="R14" s="4"/>
      <c r="S14" s="4"/>
      <c r="T14" s="4"/>
      <c r="U14" s="4"/>
      <c r="V14" s="4"/>
      <c r="W14" s="4"/>
      <c r="X14" s="4"/>
      <c r="Y14" s="4"/>
      <c r="Z14" s="26"/>
      <c r="AA14" s="99"/>
      <c r="AB14" s="119">
        <f t="shared" ref="AB14:AG14" si="5">AB13/AB4</f>
        <v>77.5</v>
      </c>
      <c r="AC14" s="119">
        <f t="shared" si="5"/>
        <v>75</v>
      </c>
      <c r="AD14" s="119">
        <f t="shared" si="5"/>
        <v>60.714285714285715</v>
      </c>
      <c r="AE14" s="119">
        <f t="shared" si="5"/>
        <v>33.333333333333336</v>
      </c>
      <c r="AF14" s="119">
        <f t="shared" si="5"/>
        <v>25</v>
      </c>
      <c r="AG14" s="119">
        <f t="shared" si="5"/>
        <v>5</v>
      </c>
      <c r="AH14" s="25"/>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18"/>
    </row>
    <row r="15" spans="1:65" x14ac:dyDescent="0.3">
      <c r="A15" s="18"/>
      <c r="B15" s="18"/>
      <c r="C15" s="97" t="s">
        <v>77</v>
      </c>
      <c r="D15" s="98" t="s">
        <v>45</v>
      </c>
      <c r="E15" s="4"/>
      <c r="F15" s="4"/>
      <c r="G15" s="4"/>
      <c r="H15" s="4"/>
      <c r="I15" s="4"/>
      <c r="J15" s="4"/>
      <c r="K15" s="4"/>
      <c r="L15" s="4"/>
      <c r="M15" s="4"/>
      <c r="N15" s="4"/>
      <c r="O15" s="4"/>
      <c r="P15" s="4"/>
      <c r="Q15" s="4"/>
      <c r="R15" s="4"/>
      <c r="S15" s="4"/>
      <c r="T15" s="4"/>
      <c r="U15" s="4"/>
      <c r="V15" s="4"/>
      <c r="W15" s="4"/>
      <c r="X15" s="4"/>
      <c r="Y15" s="4"/>
      <c r="Z15" s="26"/>
      <c r="AA15" s="99">
        <f>$E$4*E8+$L$4*L8+$S$4*S8</f>
        <v>107643.75</v>
      </c>
      <c r="AB15" s="13"/>
      <c r="AC15" s="13"/>
      <c r="AD15" s="13"/>
      <c r="AE15" s="13"/>
      <c r="AF15" s="13"/>
      <c r="AG15" s="13"/>
      <c r="AH15" s="25"/>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18"/>
    </row>
    <row r="16" spans="1:65" x14ac:dyDescent="0.3">
      <c r="A16" s="18"/>
      <c r="B16" s="18"/>
      <c r="C16" s="97" t="s">
        <v>89</v>
      </c>
      <c r="D16" s="98" t="s">
        <v>45</v>
      </c>
      <c r="E16" s="4"/>
      <c r="F16" s="4"/>
      <c r="G16" s="4"/>
      <c r="H16" s="4"/>
      <c r="I16" s="4"/>
      <c r="J16" s="4"/>
      <c r="K16" s="4"/>
      <c r="L16" s="4"/>
      <c r="M16" s="4"/>
      <c r="N16" s="4"/>
      <c r="O16" s="4"/>
      <c r="P16" s="4"/>
      <c r="Q16" s="4"/>
      <c r="R16" s="4"/>
      <c r="S16" s="4"/>
      <c r="T16" s="4"/>
      <c r="U16" s="4"/>
      <c r="V16" s="4"/>
      <c r="W16" s="4"/>
      <c r="X16" s="4"/>
      <c r="Y16" s="4"/>
      <c r="Z16" s="26"/>
      <c r="AA16" s="99">
        <f>$E$4*E7+$L$4*L7+$S$4*S7</f>
        <v>6356.2499999999991</v>
      </c>
      <c r="AB16" s="99">
        <f>($E4*$E7*(F5&gt;0))+($L4*$L7*(M5&gt;0))+($S4*$S7*(T5&gt;0))</f>
        <v>6356.2499999999991</v>
      </c>
      <c r="AC16" s="99">
        <f t="shared" ref="AC16:AG16" si="6">($E4*$E7*(G5&gt;0))+($L4*$L7*(N5&gt;0))+($S4*$S7*(U5&gt;0))</f>
        <v>6356.2499999999991</v>
      </c>
      <c r="AD16" s="99">
        <f t="shared" si="6"/>
        <v>5906.2499999999991</v>
      </c>
      <c r="AE16" s="99">
        <f t="shared" si="6"/>
        <v>5006.2499999999991</v>
      </c>
      <c r="AF16" s="99">
        <f t="shared" si="6"/>
        <v>1349.9999999999998</v>
      </c>
      <c r="AG16" s="99">
        <f t="shared" si="6"/>
        <v>1349.9999999999998</v>
      </c>
      <c r="AH16" s="25"/>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18"/>
    </row>
    <row r="17" spans="1:65" ht="15" x14ac:dyDescent="0.25">
      <c r="A17" s="18"/>
      <c r="B17" s="18"/>
      <c r="C17" s="97" t="s">
        <v>79</v>
      </c>
      <c r="D17" s="98" t="s">
        <v>45</v>
      </c>
      <c r="E17" s="4"/>
      <c r="F17" s="4"/>
      <c r="G17" s="4"/>
      <c r="H17" s="4"/>
      <c r="I17" s="4"/>
      <c r="J17" s="4"/>
      <c r="K17" s="4"/>
      <c r="L17" s="4"/>
      <c r="M17" s="4"/>
      <c r="N17" s="4"/>
      <c r="O17" s="4"/>
      <c r="P17" s="4"/>
      <c r="Q17" s="4"/>
      <c r="R17" s="4"/>
      <c r="S17" s="4"/>
      <c r="T17" s="4"/>
      <c r="U17" s="4"/>
      <c r="V17" s="4"/>
      <c r="W17" s="4"/>
      <c r="X17" s="4"/>
      <c r="Y17" s="4"/>
      <c r="Z17" s="26"/>
      <c r="AA17" s="19"/>
      <c r="AB17" s="99">
        <f t="shared" ref="AB17:AG17" si="7">($E4*F10*(F5&gt;0))+($L4*M10*(M5&gt;0))+($S4*T10*(T5&gt;0))</f>
        <v>4649.9999999999991</v>
      </c>
      <c r="AC17" s="99">
        <f t="shared" si="7"/>
        <v>5765.6249999999991</v>
      </c>
      <c r="AD17" s="99">
        <f t="shared" si="7"/>
        <v>3215.625</v>
      </c>
      <c r="AE17" s="99">
        <f t="shared" si="7"/>
        <v>6637.5</v>
      </c>
      <c r="AF17" s="99">
        <f t="shared" si="7"/>
        <v>1349.9999999999998</v>
      </c>
      <c r="AG17" s="99">
        <f t="shared" si="7"/>
        <v>1349.9999999999998</v>
      </c>
      <c r="AH17" s="25"/>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18"/>
    </row>
    <row r="18" spans="1:65" x14ac:dyDescent="0.3">
      <c r="A18" s="18"/>
      <c r="B18" s="18"/>
      <c r="C18" s="97" t="s">
        <v>90</v>
      </c>
      <c r="D18" s="98" t="s">
        <v>45</v>
      </c>
      <c r="E18" s="4"/>
      <c r="F18" s="4"/>
      <c r="G18" s="4"/>
      <c r="H18" s="4"/>
      <c r="I18" s="4"/>
      <c r="J18" s="4"/>
      <c r="K18" s="4"/>
      <c r="L18" s="4"/>
      <c r="M18" s="4"/>
      <c r="N18" s="4"/>
      <c r="O18" s="4"/>
      <c r="P18" s="4"/>
      <c r="Q18" s="4"/>
      <c r="R18" s="4"/>
      <c r="S18" s="4"/>
      <c r="T18" s="4"/>
      <c r="U18" s="4"/>
      <c r="V18" s="4"/>
      <c r="W18" s="4"/>
      <c r="X18" s="4"/>
      <c r="Y18" s="4"/>
      <c r="Z18" s="26"/>
      <c r="AA18" s="19"/>
      <c r="AB18" s="107">
        <f t="shared" ref="AB18:AG18" si="8">AB16-AB17</f>
        <v>1706.25</v>
      </c>
      <c r="AC18" s="107">
        <f t="shared" si="8"/>
        <v>590.625</v>
      </c>
      <c r="AD18" s="107">
        <f t="shared" si="8"/>
        <v>2690.6249999999991</v>
      </c>
      <c r="AE18" s="107">
        <f t="shared" si="8"/>
        <v>-1631.2500000000009</v>
      </c>
      <c r="AF18" s="107">
        <f t="shared" si="8"/>
        <v>0</v>
      </c>
      <c r="AG18" s="107">
        <f t="shared" si="8"/>
        <v>0</v>
      </c>
      <c r="AH18" s="25"/>
      <c r="AI18" s="127" t="s">
        <v>127</v>
      </c>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18"/>
    </row>
    <row r="19" spans="1:65" x14ac:dyDescent="0.3">
      <c r="A19" s="18"/>
      <c r="B19" s="18"/>
      <c r="C19" s="95" t="s">
        <v>80</v>
      </c>
      <c r="D19" s="96" t="s">
        <v>46</v>
      </c>
      <c r="E19" s="4"/>
      <c r="F19" s="4"/>
      <c r="G19" s="4"/>
      <c r="H19" s="4"/>
      <c r="I19" s="4"/>
      <c r="J19" s="4"/>
      <c r="K19" s="4"/>
      <c r="L19" s="4"/>
      <c r="M19" s="4"/>
      <c r="N19" s="4"/>
      <c r="O19" s="4"/>
      <c r="P19" s="4"/>
      <c r="Q19" s="4"/>
      <c r="R19" s="4"/>
      <c r="S19" s="4"/>
      <c r="T19" s="4"/>
      <c r="U19" s="4"/>
      <c r="V19" s="4"/>
      <c r="W19" s="4"/>
      <c r="X19" s="4"/>
      <c r="Y19" s="4"/>
      <c r="Z19" s="26"/>
      <c r="AA19" s="19"/>
      <c r="AB19" s="100">
        <f>AB18/AB13</f>
        <v>4.4032258064516126E-2</v>
      </c>
      <c r="AC19" s="100">
        <f t="shared" ref="AC19:AG19" si="9">AC18/AC13</f>
        <v>1.575E-2</v>
      </c>
      <c r="AD19" s="100">
        <f t="shared" si="9"/>
        <v>0.12661764705882347</v>
      </c>
      <c r="AE19" s="100">
        <f t="shared" si="9"/>
        <v>-0.10875000000000005</v>
      </c>
      <c r="AF19" s="100">
        <f t="shared" si="9"/>
        <v>0</v>
      </c>
      <c r="AG19" s="100">
        <f t="shared" si="9"/>
        <v>0</v>
      </c>
      <c r="AH19" s="25"/>
      <c r="AI19" s="70">
        <f>IF(AND(OR(F$25="NA",G$25="NA"),OR(M$25="NA",N$25="NA"),OR(T$25="NA",U$25="NA")),"NA",
(IF(OR(F$25="NA",G$25="NA"),0,(F$25-G$25)*$E$4)+IF(OR(M$25="NA",N$25="NA"),0,(M$25-N$25)*$L$4)+IF(OR(T$25="NA",U$25="NA"),0,(T$25-U$25)*$S$4))/
(IF(OR(F$25="NA",G$25="NA"),0,$E$4)+IF(OR(M$25="NA",N$25="NA"),0,$L$4)+IF(OR(T$25="NA",U$25="NA"),0,$S$4)))</f>
        <v>1.8375000000000002E-2</v>
      </c>
      <c r="AJ19" s="40" t="s">
        <v>71</v>
      </c>
      <c r="AK19" s="70">
        <f>IF(AND(OR(F$25="NA",H$25="NA"),OR(M$25="NA",O$25="NA"),OR(T$25="NA",V$25="NA")),"NA",
(IF(OR(F$25="NA",H$25="NA"),0,(F$25-H$25)*$E$4)+IF(OR(M$25="NA",O$25="NA"),0,(M$25-O$25)*$L$4)+IF(OR(T$25="NA",V$25="NA"),0,(T$25-V$25)*$S$4))/
(IF(OR(F$25="NA",H$25="NA"),0,$E$4)+IF(OR(M$25="NA",O$25="NA"),0,$L$4)+IF(OR(T$25="NA",V$25="NA"),0,$S$4)))</f>
        <v>-7.4464285714285677E-2</v>
      </c>
      <c r="AL19" s="40" t="s">
        <v>71</v>
      </c>
      <c r="AM19" s="70">
        <f>IF(AND(OR(F$25="NA",I$25="NA"),OR(M$25="NA",P$25="NA"),OR(T$25="NA",W$25="NA")),"NA",
(IF(OR(F$25="NA",I$25="NA"),0,(F$25-I$25)*$E$4)+IF(OR(M$25="NA",P$25="NA"),0,(M$25-P$25)*$L$4)+IF(OR(T$25="NA",W$25="NA"),0,(T$25-W$25)*$S$4))/
(IF(OR(F$25="NA",I$25="NA"),0,$E$4)+IF(OR(M$25="NA",P$25="NA"),0,$L$4)+IF(OR(T$25="NA",W$25="NA"),0,$S$4)))</f>
        <v>0.14125000000000004</v>
      </c>
      <c r="AN19" s="40" t="s">
        <v>71</v>
      </c>
      <c r="AO19" s="70">
        <f>IF(AND(OR(F$25="NA",J$25="NA"),OR(M$25="NA",Q$25="NA"),OR(T$25="NA",X$25="NA")),"NA",
(IF(OR(F$25="NA",J$25="NA"),0,(F$25-J$25)*$E$4)+IF(OR(M$25="NA",Q$25="NA"),0,(M$25-Q$25)*$L$4)+IF(OR(T$25="NA",X$25="NA"),0,(T$25-X$25)*$S$4))/
(IF(OR(F$25="NA",J$25="NA"),0,$E$4)+IF(OR(M$25="NA",Q$25="NA"),0,$L$4)+IF(OR(T$25="NA",X$25="NA"),0,$S$4)))</f>
        <v>0.15</v>
      </c>
      <c r="AP19" s="40" t="s">
        <v>71</v>
      </c>
      <c r="AQ19" s="70">
        <f>IF(AND(OR(F$25="NA",K$25="NA"),OR(M$25="NA",R$25="NA"),OR(T$25="NA",Y$25="NA")),"NA",
(IF(OR(F$25="NA",K$25="NA"),0,(F$25-K$25)*$E$4)+IF(OR(M$25="NA",R$25="NA"),0,(M$25-R$25)*$L$4)+IF(OR(T$25="NA",Y$25="NA"),0,(T$25-Y$25)*$S$4))/
(IF(OR(F$25="NA",K$25="NA"),0,$E$4)+IF(OR(M$25="NA",R$25="NA"),0,$L$4)+IF(OR(T$25="NA",Y$25="NA"),0,$S$4)))</f>
        <v>0.15</v>
      </c>
      <c r="AR19" s="40" t="s">
        <v>71</v>
      </c>
      <c r="AS19" s="70">
        <f>IF(AND(OR(G$25="NA",H$25="NA"),OR(N$25="NA",O$25="NA"),OR(U$25="NA",V$25="NA")),"NA",
(IF(OR(G$25="NA",H$25="NA"),0,(G$25-H$25)*$E$4)+IF(OR(N$25="NA",O$25="NA"),0,(N$25-O$25)*$L$4)+IF(OR(U$25="NA",V$25="NA"),0,(U$25-V$25)*$S$4))/
(IF(OR(G$25="NA",H$25="NA"),0,$E$4)+IF(OR(N$25="NA",O$25="NA"),0,$L$4)+IF(OR(U$25="NA",V$25="NA"),0,$S$4)))</f>
        <v>-0.1007142857142857</v>
      </c>
      <c r="AT19" s="40" t="s">
        <v>71</v>
      </c>
      <c r="AU19" s="70">
        <f>IF(AND(OR(G$25="NA",I$25="NA"),OR(N$25="NA",P$25="NA"),OR(U$25="NA",W$25="NA")),"NA",
(IF(OR(G$25="NA",I$25="NA"),0,(G$25-I$25)*$E$4)+IF(OR(N$25="NA",P$25="NA"),0,(N$25-P$25)*$L$4)+IF(OR(U$25="NA",W$25="NA"),0,(U$25-W$25)*$S$4))/
(IF(OR(G$25="NA",I$25="NA"),0,$E$4)+IF(OR(N$25="NA",P$25="NA"),0,$L$4)+IF(OR(U$25="NA",W$25="NA"),0,$S$4)))</f>
        <v>0.12000000000000005</v>
      </c>
      <c r="AV19" s="40" t="s">
        <v>71</v>
      </c>
      <c r="AW19" s="70">
        <f>IF(AND(OR(G$25="NA",J$25="NA"),OR(N$25="NA",Q$25="NA"),OR(U$25="NA",X$25="NA")),"NA",
(IF(OR(G$25="NA",J$25="NA"),0,(G$25-J$25)*$E$4)+IF(OR(N$25="NA",Q$25="NA"),0,(N$25-Q$25)*$L$4)+IF(OR(U$25="NA",X$25="NA"),0,(U$25-X$25)*$S$4))/
(IF(OR(G$25="NA",J$25="NA"),0,$E$4)+IF(OR(N$25="NA",Q$25="NA"),0,$L$4)+IF(OR(U$25="NA",X$25="NA"),0,$S$4)))</f>
        <v>0.15749999999999997</v>
      </c>
      <c r="AX19" s="40" t="s">
        <v>71</v>
      </c>
      <c r="AY19" s="70">
        <f>IF(AND(OR(G$25="NA",K$25="NA"),OR(N$25="NA",R$25="NA"),OR(U$25="NA",Y$25="NA")),"NA",
(IF(OR(G$25="NA",K$25="NA"),0,(G$25-K$25)*$E$4)+IF(OR(N$25="NA",R$25="NA"),0,(N$25-R$25)*$L$4)+IF(OR(U$25="NA",Y$25="NA"),0,(U$25-Y$25)*$S$4))/
(IF(OR(G$25="NA",K$25="NA"),0,$E$4)+IF(OR(N$25="NA",R$25="NA"),0,$L$4)+IF(OR(U$25="NA",Y$25="NA"),0,$S$4)))</f>
        <v>0.15749999999999997</v>
      </c>
      <c r="AZ19" s="40" t="s">
        <v>71</v>
      </c>
      <c r="BA19" s="70">
        <f>IF(AND(OR(H$25="NA",I$25="NA"),OR(O$25="NA",P$25="NA"),OR(V$25="NA",W$25="NA")),"NA",
(IF(OR(H$25="NA",I$25="NA"),0,(H$25-I$25)*$E$4)+IF(OR(O$25="NA",P$25="NA"),0,(O$25-P$25)*$L$4)+IF(OR(V$25="NA",W$25="NA"),0,(V$25-W$25)*$S$4))/
(IF(OR(H$25="NA",I$25="NA"),0,$E$4)+IF(OR(O$25="NA",P$25="NA"),0,$L$4)+IF(OR(V$25="NA",W$25="NA"),0,$S$4)))</f>
        <v>0.26250000000000007</v>
      </c>
      <c r="BB19" s="40" t="s">
        <v>71</v>
      </c>
      <c r="BC19" s="70">
        <f>IF(AND(OR(H$25="NA",J$25="NA"),OR(O$25="NA",Q$25="NA"),OR(V$25="NA",X$25="NA")),"NA",
(IF(OR(H$25="NA",J$25="NA"),0,(H$25-J$25)*$E$4)+IF(OR(O$25="NA",Q$25="NA"),0,(O$25-Q$25)*$L$4)+IF(OR(V$25="NA",X$25="NA"),0,(V$25-X$25)*$S$4))/
(IF(OR(H$25="NA",J$25="NA"),0,$E$4)+IF(OR(O$25="NA",Q$25="NA"),0,$L$4)+IF(OR(V$25="NA",X$25="NA"),0,$S$4)))</f>
        <v>0.14249999999999996</v>
      </c>
      <c r="BD19" s="40" t="s">
        <v>71</v>
      </c>
      <c r="BE19" s="70">
        <f>IF(AND(OR(H$25="NA",K$25="NA"),OR(O$25="NA",R$25="NA"),OR(V$25="NA",Y$25="NA")),"NA",
(IF(OR(H$25="NA",K$25="NA"),0,(H$25-K$25)*$E$4)+IF(OR(O$25="NA",R$25="NA"),0,(O$25-R$25)*$L$4)+IF(OR(V$25="NA",Y$25="NA"),0,(V$25-Y$25)*$S$4))/
(IF(OR(H$25="NA",K$25="NA"),0,$E$4)+IF(OR(O$25="NA",R$25="NA"),0,$L$4)+IF(OR(V$25="NA",Y$25="NA"),0,$S$4)))</f>
        <v>0.14249999999999996</v>
      </c>
      <c r="BF19" s="40" t="s">
        <v>71</v>
      </c>
      <c r="BG19" s="125" t="str">
        <f>IF(AND(OR(I$25="NA",J$25="NA"),OR(P$25="NA",Q$25="NA"),OR(W$25="NA",X$25="NA")),"NA",
(IF(OR(I$25="NA",J$25="NA"),0,(I$25-J$25)*$E$4)+IF(OR(P$25="NA",Q$25="NA"),0,(P$25-Q$25)*$L$4)+IF(OR(W$25="NA",X$25="NA"),0,(W$25-X$25)*$S$4))/
(IF(OR(I$25="NA",J$25="NA"),0,$E$4)+IF(OR(P$25="NA",Q$25="NA"),0,$L$4)+IF(OR(W$25="NA",X$25="NA"),0,$S$4)))</f>
        <v>NA</v>
      </c>
      <c r="BH19" s="40" t="s">
        <v>71</v>
      </c>
      <c r="BI19" s="125" t="str">
        <f>IF(AND(OR(I$25="NA",K$25="NA"),OR(P$25="NA",R$25="NA"),OR(W$25="NA",Y$25="NA")),"NA",
(IF(OR(I$25="NA",K$25="NA"),0,(I$25-K$25)*$E$4)+IF(OR(P$25="NA",R$25="NA"),0,(P$25-R$25)*$L$4)+IF(OR(W$25="NA",Y$25="NA"),0,(W$25-Y$25)*$S$4))/
(IF(OR(I$25="NA",K$25="NA"),0,$E$4)+IF(OR(P$25="NA",R$25="NA"),0,$L$4)+IF(OR(W$25="NA",Y$25="NA"),0,$S$4)))</f>
        <v>NA</v>
      </c>
      <c r="BJ19" s="40" t="s">
        <v>71</v>
      </c>
      <c r="BK19" s="70">
        <f>IF(AND(OR(J$25="NA",K$25="NA"),OR(Q$25="NA",R$25="NA"),OR(X$25="NA",Y$25="NA")),"NA",
(IF(OR(J$25="NA",K$25="NA"),0,(J$25-K$25)*$E$4)+IF(OR(Q$25="NA",R$25="NA"),0,(Q$25-R$25)*$L$4)+IF(OR(X$25="NA",Y$25="NA"),0,(X$25-Y$25)*$S$4))/
(IF(OR(J$25="NA",K$25="NA"),0,$E$4)+IF(OR(Q$25="NA",R$25="NA"),0,$L$4)+IF(OR(X$25="NA",Y$25="NA"),0,$S$4)))</f>
        <v>0</v>
      </c>
      <c r="BL19" s="40" t="s">
        <v>71</v>
      </c>
      <c r="BM19" s="18"/>
    </row>
    <row r="20" spans="1:65" s="6" customFormat="1" ht="14.4" customHeight="1" x14ac:dyDescent="0.3">
      <c r="B20" s="133"/>
      <c r="C20" s="6" t="s">
        <v>54</v>
      </c>
      <c r="D20" s="112" t="s">
        <v>45</v>
      </c>
      <c r="E20" s="4"/>
      <c r="F20" s="4"/>
      <c r="G20" s="4"/>
      <c r="H20" s="4"/>
      <c r="I20" s="4"/>
      <c r="J20" s="4"/>
      <c r="K20" s="4"/>
      <c r="L20" s="4"/>
      <c r="M20" s="4"/>
      <c r="N20" s="4"/>
      <c r="O20" s="4"/>
      <c r="P20" s="4"/>
      <c r="Q20" s="4"/>
      <c r="R20" s="4"/>
      <c r="S20" s="4"/>
      <c r="T20" s="4"/>
      <c r="U20" s="4"/>
      <c r="V20" s="4"/>
      <c r="W20" s="4"/>
      <c r="X20" s="4"/>
      <c r="Y20" s="4"/>
      <c r="Z20" s="26"/>
      <c r="AA20" s="72">
        <f>AA16-SUMPRODUCT(AB13:AG13,AB19:AG19)</f>
        <v>3000.0000000000018</v>
      </c>
      <c r="AB20" s="14"/>
      <c r="AC20" s="14"/>
      <c r="AD20" s="14"/>
      <c r="AE20" s="14"/>
      <c r="AF20" s="14"/>
      <c r="AG20" s="14"/>
      <c r="AH20" s="27"/>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113"/>
    </row>
    <row r="21" spans="1:65" s="6" customFormat="1" x14ac:dyDescent="0.3">
      <c r="B21" s="133"/>
      <c r="C21" s="6" t="s">
        <v>55</v>
      </c>
      <c r="D21" s="81" t="s">
        <v>46</v>
      </c>
      <c r="E21" s="4"/>
      <c r="F21" s="4"/>
      <c r="G21" s="4"/>
      <c r="H21" s="4"/>
      <c r="I21" s="4"/>
      <c r="J21" s="4"/>
      <c r="K21" s="4"/>
      <c r="L21" s="4"/>
      <c r="M21" s="4"/>
      <c r="N21" s="4"/>
      <c r="O21" s="4"/>
      <c r="P21" s="4"/>
      <c r="Q21" s="4"/>
      <c r="R21" s="4"/>
      <c r="S21" s="4"/>
      <c r="T21" s="4"/>
      <c r="U21" s="4"/>
      <c r="V21" s="4"/>
      <c r="W21" s="4"/>
      <c r="X21" s="4"/>
      <c r="Y21" s="4"/>
      <c r="Z21" s="26"/>
      <c r="AA21" s="16">
        <f>AA20/$AA$13</f>
        <v>2.6315789473684226E-2</v>
      </c>
      <c r="AB21" s="31"/>
      <c r="AC21" s="31"/>
      <c r="AD21" s="31"/>
      <c r="AE21" s="31"/>
      <c r="AF21" s="31"/>
      <c r="AG21" s="31"/>
      <c r="AH21" s="28"/>
      <c r="AI21" s="128" t="s">
        <v>128</v>
      </c>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1:65" s="6" customFormat="1" x14ac:dyDescent="0.3">
      <c r="B22" s="133"/>
      <c r="C22" s="6" t="s">
        <v>59</v>
      </c>
      <c r="D22" s="81" t="s">
        <v>46</v>
      </c>
      <c r="E22" s="24"/>
      <c r="F22" s="24"/>
      <c r="G22" s="24"/>
      <c r="H22" s="24"/>
      <c r="I22" s="24"/>
      <c r="J22" s="24"/>
      <c r="K22" s="24"/>
      <c r="L22" s="24"/>
      <c r="M22" s="24"/>
      <c r="N22" s="24"/>
      <c r="O22" s="24"/>
      <c r="P22" s="24"/>
      <c r="Q22" s="24"/>
      <c r="R22" s="24"/>
      <c r="S22" s="24"/>
      <c r="T22" s="24"/>
      <c r="U22" s="24"/>
      <c r="V22" s="24"/>
      <c r="W22" s="24"/>
      <c r="X22" s="24"/>
      <c r="Y22" s="24"/>
      <c r="Z22" s="28"/>
      <c r="AA22" s="17"/>
      <c r="AB22" s="69">
        <f t="shared" ref="AB22:AG22" si="10">AB19+$AA21</f>
        <v>7.0348047538200356E-2</v>
      </c>
      <c r="AC22" s="69">
        <f t="shared" si="10"/>
        <v>4.2065789473684223E-2</v>
      </c>
      <c r="AD22" s="69">
        <f t="shared" si="10"/>
        <v>0.15293343653250771</v>
      </c>
      <c r="AE22" s="69">
        <f t="shared" si="10"/>
        <v>-8.2434210526315832E-2</v>
      </c>
      <c r="AF22" s="69">
        <f t="shared" si="10"/>
        <v>2.6315789473684226E-2</v>
      </c>
      <c r="AG22" s="69">
        <f t="shared" si="10"/>
        <v>2.6315789473684226E-2</v>
      </c>
      <c r="AH22" s="28"/>
      <c r="AI22" s="70">
        <f>AB22-AC22</f>
        <v>2.8282258064516133E-2</v>
      </c>
      <c r="AJ22" s="121">
        <f>IF(AI$19="NA","NA",IF(AND(AI22=0,AI$19=0),0,IF(AI$19=0,"DIV/0",ROUND(AI22/AI$19,5))))</f>
        <v>1.5391699999999999</v>
      </c>
      <c r="AK22" s="70">
        <f>AB22-AD22</f>
        <v>-8.2585388994307354E-2</v>
      </c>
      <c r="AL22" s="121">
        <f>IF(AK$19="NA","NA",IF(AND(AK22=0,AK$19=0),0,IF(AK$19=0,"DIV/0",ROUND(AK22/AK$19,5))))</f>
        <v>1.1090599999999999</v>
      </c>
      <c r="AM22" s="70">
        <f>AB22-AE22</f>
        <v>0.15278225806451617</v>
      </c>
      <c r="AN22" s="121">
        <f>IF(AM$19="NA","NA",IF(AND(AM22=0,AM$19=0),0,IF(AM$19=0,"DIV/0",ROUND(AM22/AM$19,5))))</f>
        <v>1.0816399999999999</v>
      </c>
      <c r="AO22" s="70">
        <f>AB22-AF22</f>
        <v>4.4032258064516133E-2</v>
      </c>
      <c r="AP22" s="121">
        <f>IF(AO$19="NA","NA",IF(AND(AO22=0,AO$19=0),0,IF(AO$19=0,"DIV/0",ROUND(AO22/AO$19,5))))</f>
        <v>0.29354999999999998</v>
      </c>
      <c r="AQ22" s="70">
        <f>AB22-AG22</f>
        <v>4.4032258064516133E-2</v>
      </c>
      <c r="AR22" s="121">
        <f>IF(AQ$19="NA","NA",IF(AND(AQ22=0,AQ$19=0),0,IF(AQ$19=0,"DIV/0",ROUND(AQ22/AQ$19,5))))</f>
        <v>0.29354999999999998</v>
      </c>
      <c r="AS22" s="70">
        <f>AC22-AD22</f>
        <v>-0.11086764705882349</v>
      </c>
      <c r="AT22" s="121">
        <f>IF(AS$19="NA","NA",IF(AND(AS22=0,AS$19=0),0,IF(AS$19=0,"DIV/0",ROUND(AS22/AS$19,5))))</f>
        <v>1.1008100000000001</v>
      </c>
      <c r="AU22" s="70">
        <f>AC22-AE22</f>
        <v>0.12450000000000006</v>
      </c>
      <c r="AV22" s="121">
        <f>IF(AU$19="NA","NA",IF(AND(AU22=0,AU$19=0),0,IF(AU$19=0,"DIV/0",ROUND(AU22/AU$19,5))))</f>
        <v>1.0375000000000001</v>
      </c>
      <c r="AW22" s="70">
        <f>AC22-AF22</f>
        <v>1.5749999999999997E-2</v>
      </c>
      <c r="AX22" s="121">
        <f>IF(AW$19="NA","NA",IF(AND(AW22=0,AW$19=0),0,IF(AW$19=0,"DIV/0",ROUND(AW22/AW$19,5))))</f>
        <v>0.1</v>
      </c>
      <c r="AY22" s="70">
        <f>AC22-AG22</f>
        <v>1.5749999999999997E-2</v>
      </c>
      <c r="AZ22" s="121">
        <f>IF(AY$19="NA","NA",IF(AND(AY22=0,AY$19=0),0,IF(AY$19=0,"DIV/0",ROUND(AY22/AY$19,5))))</f>
        <v>0.1</v>
      </c>
      <c r="BA22" s="70">
        <f>AD22-AE22</f>
        <v>0.23536764705882354</v>
      </c>
      <c r="BB22" s="121">
        <f>IF(BA$19="NA","NA",IF(AND(BA22=0,BA$19=0),0,IF(BA$19=0,"DIV/0",ROUND(BA22/BA$19,5))))</f>
        <v>0.89663999999999999</v>
      </c>
      <c r="BC22" s="70">
        <f>AD22-AF22</f>
        <v>0.12661764705882347</v>
      </c>
      <c r="BD22" s="121">
        <f>IF(BC$19="NA","NA",IF(AND(BC22=0,BC$19=0),0,IF(BC$19=0,"DIV/0",ROUND(BC22/BC$19,5))))</f>
        <v>0.88854</v>
      </c>
      <c r="BE22" s="70">
        <f>AD22-AG22</f>
        <v>0.12661764705882347</v>
      </c>
      <c r="BF22" s="121">
        <f>IF(BE$19="NA","NA",IF(AND(BE22=0,BE$19=0),0,IF(BE$19=0,"DIV/0",ROUND(BE22/BE$19,5))))</f>
        <v>0.88854</v>
      </c>
      <c r="BG22" s="70">
        <f>AE22-AF22</f>
        <v>-0.10875000000000005</v>
      </c>
      <c r="BH22" s="121" t="str">
        <f>IF(BG$19="NA","NA",IF(AND(BG22=0,BG$19=0),0,IF(BG$19=0,"DIV/0",ROUND(BG22/BG$19,5))))</f>
        <v>NA</v>
      </c>
      <c r="BI22" s="70">
        <f>AE22-AG22</f>
        <v>-0.10875000000000005</v>
      </c>
      <c r="BJ22" s="121" t="str">
        <f>IF(BI$19="NA","NA",IF(AND(BI22=0,BI$19=0),0,IF(BI$19=0,"DIV/0",ROUND(BI22/BI$19,5))))</f>
        <v>NA</v>
      </c>
      <c r="BK22" s="70">
        <f>AF22-AG22</f>
        <v>0</v>
      </c>
      <c r="BL22" s="121">
        <f>IF(BK$19="NA","NA",IF(AND(BK22=0,BK$19=0),0,IF(BK$19=0,"DIV/0",ROUND(BK22/BK$19,5))))</f>
        <v>0</v>
      </c>
    </row>
    <row r="23" spans="1:65" s="6" customFormat="1" x14ac:dyDescent="0.3">
      <c r="B23" s="133"/>
      <c r="C23" s="28" t="s">
        <v>60</v>
      </c>
      <c r="D23" s="112" t="s">
        <v>45</v>
      </c>
      <c r="E23" s="8"/>
      <c r="F23" s="8"/>
      <c r="G23" s="8"/>
      <c r="H23" s="8"/>
      <c r="I23" s="8"/>
      <c r="J23" s="8"/>
      <c r="K23" s="8"/>
      <c r="L23" s="8"/>
      <c r="M23" s="8"/>
      <c r="N23" s="8"/>
      <c r="O23" s="8"/>
      <c r="P23" s="8"/>
      <c r="Q23" s="8"/>
      <c r="R23" s="8"/>
      <c r="S23" s="8"/>
      <c r="T23" s="8"/>
      <c r="U23" s="8"/>
      <c r="V23" s="8"/>
      <c r="W23" s="8"/>
      <c r="X23" s="8"/>
      <c r="Y23" s="8"/>
      <c r="Z23" s="27"/>
      <c r="AA23" s="93">
        <f>ROUND(SUMPRODUCT(AB13:AG13,AB22:AG22)-AA16,10)</f>
        <v>0</v>
      </c>
      <c r="AB23" s="14"/>
      <c r="AC23" s="14"/>
      <c r="AD23" s="14"/>
      <c r="AE23" s="14"/>
      <c r="AF23" s="14"/>
      <c r="AG23" s="14"/>
      <c r="AH23" s="27"/>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27"/>
    </row>
    <row r="24" spans="1:65" ht="15" thickBot="1" x14ac:dyDescent="0.35">
      <c r="E24" s="5"/>
      <c r="F24" s="5"/>
      <c r="G24" s="5"/>
      <c r="H24" s="5"/>
      <c r="I24" s="5"/>
      <c r="J24" s="5"/>
      <c r="K24" s="5"/>
      <c r="L24" s="5"/>
      <c r="M24" s="5"/>
      <c r="N24" s="5"/>
      <c r="O24" s="5"/>
      <c r="P24" s="5"/>
      <c r="Q24" s="5"/>
      <c r="R24" s="5"/>
      <c r="S24" s="5"/>
      <c r="T24" s="5"/>
      <c r="U24" s="5"/>
      <c r="V24" s="5"/>
      <c r="W24" s="5"/>
      <c r="X24" s="5"/>
      <c r="Y24" s="5"/>
      <c r="Z24" s="10"/>
      <c r="AA24" s="30"/>
      <c r="AB24" s="12"/>
      <c r="AC24" s="12"/>
      <c r="AD24" s="92"/>
      <c r="AE24" s="12"/>
      <c r="AF24" s="12"/>
      <c r="AG24" s="12"/>
      <c r="AH24" s="10"/>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5" spans="1:65" ht="14.4" customHeight="1" x14ac:dyDescent="0.3">
      <c r="B25" s="134" t="s">
        <v>74</v>
      </c>
      <c r="C25" s="51" t="s">
        <v>82</v>
      </c>
      <c r="D25" s="80" t="s">
        <v>46</v>
      </c>
      <c r="E25" s="52"/>
      <c r="F25" s="117">
        <f t="shared" ref="F25:H25" si="11">IF(F5=0,"NA",F11/F5)</f>
        <v>0.15</v>
      </c>
      <c r="G25" s="117">
        <f t="shared" si="11"/>
        <v>0.15749999999999997</v>
      </c>
      <c r="H25" s="117">
        <f t="shared" si="11"/>
        <v>0.14249999999999996</v>
      </c>
      <c r="I25" s="117" t="str">
        <f>IF(I5=0,"NA",I11/I5)</f>
        <v>NA</v>
      </c>
      <c r="J25" s="117">
        <f t="shared" ref="J25:K25" si="12">IF(J5=0,"NA",J11/J5)</f>
        <v>0</v>
      </c>
      <c r="K25" s="117">
        <f t="shared" si="12"/>
        <v>0</v>
      </c>
      <c r="L25" s="52"/>
      <c r="M25" s="117">
        <f t="shared" ref="M25:R25" si="13">IF(M5=0,"NA",M11/M5)</f>
        <v>3.1875000000000001E-2</v>
      </c>
      <c r="N25" s="117">
        <f t="shared" si="13"/>
        <v>0</v>
      </c>
      <c r="O25" s="117">
        <f t="shared" si="13"/>
        <v>0.11999999999999997</v>
      </c>
      <c r="P25" s="117">
        <f t="shared" si="13"/>
        <v>-0.14250000000000007</v>
      </c>
      <c r="Q25" s="117" t="str">
        <f t="shared" si="13"/>
        <v>NA</v>
      </c>
      <c r="R25" s="117" t="str">
        <f t="shared" si="13"/>
        <v>NA</v>
      </c>
      <c r="S25" s="52"/>
      <c r="T25" s="117">
        <f t="shared" ref="T25:Y25" si="14">IF(T5=0,"NA",T11/T5)</f>
        <v>0</v>
      </c>
      <c r="U25" s="117">
        <f t="shared" si="14"/>
        <v>0</v>
      </c>
      <c r="V25" s="117" t="str">
        <f t="shared" si="14"/>
        <v>NA</v>
      </c>
      <c r="W25" s="117">
        <f t="shared" si="14"/>
        <v>-7.4999999999999997E-2</v>
      </c>
      <c r="X25" s="117" t="str">
        <f t="shared" si="14"/>
        <v>NA</v>
      </c>
      <c r="Y25" s="117" t="str">
        <f t="shared" si="14"/>
        <v>NA</v>
      </c>
      <c r="Z25" s="53"/>
      <c r="AA25" s="61"/>
      <c r="AB25" s="54"/>
      <c r="AC25" s="54"/>
      <c r="AD25" s="54"/>
      <c r="AE25" s="54"/>
      <c r="AF25" s="54"/>
      <c r="AG25" s="54"/>
      <c r="AH25" s="53"/>
      <c r="AI25" s="55"/>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56"/>
    </row>
    <row r="26" spans="1:65" ht="14.4" customHeight="1" x14ac:dyDescent="0.3">
      <c r="B26" s="135"/>
      <c r="C26" s="6" t="s">
        <v>54</v>
      </c>
      <c r="D26" s="81" t="s">
        <v>44</v>
      </c>
      <c r="E26" s="108">
        <f>E7-SUM(F11:K11)</f>
        <v>-17.624999999999996</v>
      </c>
      <c r="F26" s="8"/>
      <c r="G26" s="8"/>
      <c r="H26" s="8"/>
      <c r="I26" s="8"/>
      <c r="J26" s="8"/>
      <c r="K26" s="8"/>
      <c r="L26" s="108">
        <f>L7-SUM(M11:R11)</f>
        <v>9.5625000000000018</v>
      </c>
      <c r="M26" s="8"/>
      <c r="N26" s="8"/>
      <c r="O26" s="8"/>
      <c r="P26" s="8"/>
      <c r="Q26" s="8"/>
      <c r="R26" s="8"/>
      <c r="S26" s="108">
        <f>S7-SUM(T11:Y11)</f>
        <v>6.7499999999999991</v>
      </c>
      <c r="T26" s="8"/>
      <c r="U26" s="8"/>
      <c r="V26" s="8"/>
      <c r="W26" s="8"/>
      <c r="X26" s="8"/>
      <c r="Y26" s="8"/>
      <c r="Z26" s="27"/>
      <c r="AA26" s="15"/>
      <c r="AB26" s="14"/>
      <c r="AC26" s="14"/>
      <c r="AD26" s="14"/>
      <c r="AE26" s="14"/>
      <c r="AF26" s="14"/>
      <c r="AG26" s="14"/>
      <c r="AH26" s="27"/>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57"/>
    </row>
    <row r="27" spans="1:65" x14ac:dyDescent="0.3">
      <c r="B27" s="135"/>
      <c r="C27" s="6" t="s">
        <v>55</v>
      </c>
      <c r="D27" s="81" t="s">
        <v>46</v>
      </c>
      <c r="E27" s="9">
        <f>E26/E5</f>
        <v>-5.3409090909090899E-2</v>
      </c>
      <c r="F27" s="7"/>
      <c r="G27" s="7"/>
      <c r="H27" s="7"/>
      <c r="I27" s="7"/>
      <c r="J27" s="7"/>
      <c r="K27" s="7"/>
      <c r="L27" s="9">
        <f>L26/L5</f>
        <v>3.8250000000000006E-2</v>
      </c>
      <c r="M27" s="7"/>
      <c r="N27" s="7"/>
      <c r="O27" s="7"/>
      <c r="P27" s="7"/>
      <c r="Q27" s="7"/>
      <c r="R27" s="7"/>
      <c r="S27" s="9">
        <f>S26/S5</f>
        <v>4.4999999999999991E-2</v>
      </c>
      <c r="T27" s="7"/>
      <c r="U27" s="7"/>
      <c r="V27" s="7"/>
      <c r="W27" s="7"/>
      <c r="X27" s="7"/>
      <c r="Y27" s="7"/>
      <c r="Z27" s="28"/>
      <c r="AA27" s="16"/>
      <c r="AB27" s="31"/>
      <c r="AC27" s="31"/>
      <c r="AD27" s="31"/>
      <c r="AE27" s="31"/>
      <c r="AF27" s="31"/>
      <c r="AG27" s="31"/>
      <c r="AH27" s="28"/>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58"/>
    </row>
    <row r="28" spans="1:65" x14ac:dyDescent="0.3">
      <c r="B28" s="135"/>
      <c r="C28" s="6" t="s">
        <v>56</v>
      </c>
      <c r="D28" s="81" t="s">
        <v>46</v>
      </c>
      <c r="E28" s="24"/>
      <c r="F28" s="118">
        <f>IF(F25="NA","NA",F25+$E27)</f>
        <v>9.6590909090909088E-2</v>
      </c>
      <c r="G28" s="118">
        <f t="shared" ref="G28:K28" si="15">IF(G25="NA","NA",G25+$E27)</f>
        <v>0.10409090909090907</v>
      </c>
      <c r="H28" s="118">
        <f t="shared" si="15"/>
        <v>8.9090909090909054E-2</v>
      </c>
      <c r="I28" s="118" t="str">
        <f t="shared" si="15"/>
        <v>NA</v>
      </c>
      <c r="J28" s="118">
        <f t="shared" si="15"/>
        <v>-5.3409090909090899E-2</v>
      </c>
      <c r="K28" s="118">
        <f t="shared" si="15"/>
        <v>-5.3409090909090899E-2</v>
      </c>
      <c r="L28" s="24"/>
      <c r="M28" s="118">
        <f>IF(M25="NA","NA",M25+$L27)</f>
        <v>7.0125000000000007E-2</v>
      </c>
      <c r="N28" s="118">
        <f t="shared" ref="N28:R28" si="16">IF(N25="NA","NA",N25+$L27)</f>
        <v>3.8250000000000006E-2</v>
      </c>
      <c r="O28" s="118">
        <f t="shared" si="16"/>
        <v>0.15824999999999997</v>
      </c>
      <c r="P28" s="118">
        <f t="shared" si="16"/>
        <v>-0.10425000000000006</v>
      </c>
      <c r="Q28" s="118" t="str">
        <f t="shared" si="16"/>
        <v>NA</v>
      </c>
      <c r="R28" s="118" t="str">
        <f t="shared" si="16"/>
        <v>NA</v>
      </c>
      <c r="S28" s="24"/>
      <c r="T28" s="118">
        <f>IF(T25="NA","NA",T25+$S27)</f>
        <v>4.4999999999999991E-2</v>
      </c>
      <c r="U28" s="118">
        <f t="shared" ref="U28:Y28" si="17">IF(U25="NA","NA",U25+$S27)</f>
        <v>4.4999999999999991E-2</v>
      </c>
      <c r="V28" s="118" t="str">
        <f t="shared" si="17"/>
        <v>NA</v>
      </c>
      <c r="W28" s="118">
        <f t="shared" si="17"/>
        <v>-3.0000000000000006E-2</v>
      </c>
      <c r="X28" s="118" t="str">
        <f t="shared" si="17"/>
        <v>NA</v>
      </c>
      <c r="Y28" s="118" t="str">
        <f t="shared" si="17"/>
        <v>NA</v>
      </c>
      <c r="Z28" s="28"/>
      <c r="AA28" s="17"/>
      <c r="AB28" s="21"/>
      <c r="AC28" s="21"/>
      <c r="AD28" s="16"/>
      <c r="AE28" s="16"/>
      <c r="AF28" s="16"/>
      <c r="AG28" s="16"/>
      <c r="AH28" s="28"/>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58"/>
    </row>
    <row r="29" spans="1:65" x14ac:dyDescent="0.3">
      <c r="B29" s="135"/>
      <c r="C29" s="6" t="s">
        <v>57</v>
      </c>
      <c r="D29" s="81" t="s">
        <v>46</v>
      </c>
      <c r="E29" s="24"/>
      <c r="F29" s="9"/>
      <c r="G29" s="9"/>
      <c r="H29" s="9"/>
      <c r="I29" s="9"/>
      <c r="J29" s="9"/>
      <c r="K29" s="9"/>
      <c r="L29" s="24"/>
      <c r="M29" s="9"/>
      <c r="N29" s="9"/>
      <c r="O29" s="9"/>
      <c r="P29" s="9"/>
      <c r="Q29" s="9"/>
      <c r="R29" s="9"/>
      <c r="S29" s="24"/>
      <c r="T29" s="9"/>
      <c r="U29" s="9"/>
      <c r="V29" s="9"/>
      <c r="W29" s="9"/>
      <c r="X29" s="9"/>
      <c r="Y29" s="9"/>
      <c r="Z29" s="28"/>
      <c r="AA29" s="17"/>
      <c r="AB29" s="120">
        <f t="shared" ref="AB29:AG29" si="18">(IF(F5&gt;0,$E4*F5*F28,0)+IF(M5&gt;0,$L4*M5*M28,0)+IF(T5&gt;0,$S4*T5*T28,0))/(IF(F5&gt;0,$E4*F5,0)+IF(M5&gt;0,$L4*M5,0)+IF(T5&gt;0,$S4*T5,0))</f>
        <v>7.1108504398826974E-2</v>
      </c>
      <c r="AC29" s="120">
        <f t="shared" si="18"/>
        <v>4.6859090909090906E-2</v>
      </c>
      <c r="AD29" s="120">
        <f t="shared" si="18"/>
        <v>0.13790909090909087</v>
      </c>
      <c r="AE29" s="120">
        <f t="shared" si="18"/>
        <v>-6.7125000000000032E-2</v>
      </c>
      <c r="AF29" s="120">
        <f t="shared" si="18"/>
        <v>-5.3409090909090899E-2</v>
      </c>
      <c r="AG29" s="120">
        <f t="shared" si="18"/>
        <v>-5.3409090909090899E-2</v>
      </c>
      <c r="AH29" s="28"/>
      <c r="AI29" s="70">
        <f>AB29-AC29</f>
        <v>2.4249413489736069E-2</v>
      </c>
      <c r="AJ29" s="121">
        <f>IF(AI$19="NA","NA",IF(AND(AI29=0,AI$19=0),0,IF(AI$19=0,"DIV/0",ROUND(AI29/AI$19,5))))</f>
        <v>1.3197000000000001</v>
      </c>
      <c r="AK29" s="70">
        <f>AB29-AD29</f>
        <v>-6.6800586510263896E-2</v>
      </c>
      <c r="AL29" s="121">
        <f>IF(AK$19="NA","NA",IF(AND(AK29=0,AK$19=0),0,IF(AK$19=0,"DIV/0",ROUND(AK29/AK$19,5))))</f>
        <v>0.89707999999999999</v>
      </c>
      <c r="AM29" s="70">
        <f>AB29-AE29</f>
        <v>0.13823350439882701</v>
      </c>
      <c r="AN29" s="121">
        <f>IF(AM$19="NA","NA",IF(AND(AM29=0,AM$19=0),0,IF(AM$19=0,"DIV/0",ROUND(AM29/AM$19,5))))</f>
        <v>0.97863999999999995</v>
      </c>
      <c r="AO29" s="70">
        <f>AB29-AF29</f>
        <v>0.12451759530791787</v>
      </c>
      <c r="AP29" s="121">
        <f>IF(AO$19="NA","NA",IF(AND(AO29=0,AO$19=0),0,IF(AO$19=0,"DIV/0",ROUND(AO29/AO$19,5))))</f>
        <v>0.83011999999999997</v>
      </c>
      <c r="AQ29" s="70">
        <f>AB29-AG29</f>
        <v>0.12451759530791787</v>
      </c>
      <c r="AR29" s="121">
        <f>IF(AQ$19="NA","NA",IF(AND(AQ29=0,AQ$19=0),0,IF(AQ$19=0,"DIV/0",ROUND(AQ29/AQ$19,5))))</f>
        <v>0.83011999999999997</v>
      </c>
      <c r="AS29" s="70">
        <f>AC29-AD29</f>
        <v>-9.1049999999999964E-2</v>
      </c>
      <c r="AT29" s="121">
        <f>IF(AS$19="NA","NA",IF(AND(AS29=0,AS$19=0),0,IF(AS$19=0,"DIV/0",ROUND(AS29/AS$19,5))))</f>
        <v>0.90403999999999995</v>
      </c>
      <c r="AU29" s="70">
        <f>AC29-AE29</f>
        <v>0.11398409090909094</v>
      </c>
      <c r="AV29" s="121">
        <f>IF(AU$19="NA","NA",IF(AND(AU29=0,AU$19=0),0,IF(AU$19=0,"DIV/0",ROUND(AU29/AU$19,5))))</f>
        <v>0.94986999999999999</v>
      </c>
      <c r="AW29" s="70">
        <f>AC29-AF29</f>
        <v>0.10026818181818181</v>
      </c>
      <c r="AX29" s="121">
        <f>IF(AW$19="NA","NA",IF(AND(AW29=0,AW$19=0),0,IF(AW$19=0,"DIV/0",ROUND(AW29/AW$19,5))))</f>
        <v>0.63661999999999996</v>
      </c>
      <c r="AY29" s="70">
        <f>AC29-AG29</f>
        <v>0.10026818181818181</v>
      </c>
      <c r="AZ29" s="121">
        <f>IF(AY$19="NA","NA",IF(AND(AY29=0,AY$19=0),0,IF(AY$19=0,"DIV/0",ROUND(AY29/AY$19,5))))</f>
        <v>0.63661999999999996</v>
      </c>
      <c r="BA29" s="70">
        <f>AD29-AE29</f>
        <v>0.20503409090909092</v>
      </c>
      <c r="BB29" s="121">
        <f>IF(BA$19="NA","NA",IF(AND(BA29=0,BA$19=0),0,IF(BA$19=0,"DIV/0",ROUND(BA29/BA$19,5))))</f>
        <v>0.78108</v>
      </c>
      <c r="BC29" s="70">
        <f>AD29-AF29</f>
        <v>0.19131818181818178</v>
      </c>
      <c r="BD29" s="121">
        <f>IF(BC$19="NA","NA",IF(AND(BC29=0,BC$19=0),0,IF(BC$19=0,"DIV/0",ROUND(BC29/BC$19,5))))</f>
        <v>1.3425800000000001</v>
      </c>
      <c r="BE29" s="70">
        <f>AD29-AG29</f>
        <v>0.19131818181818178</v>
      </c>
      <c r="BF29" s="121">
        <f>IF(BE$19="NA","NA",IF(AND(BE29=0,BE$19=0),0,IF(BE$19=0,"DIV/0",ROUND(BE29/BE$19,5))))</f>
        <v>1.3425800000000001</v>
      </c>
      <c r="BG29" s="70">
        <f>AE29-AF29</f>
        <v>-1.3715909090909133E-2</v>
      </c>
      <c r="BH29" s="121" t="str">
        <f>IF(BG$19="NA","NA",IF(AND(BG29=0,BG$19=0),0,IF(BG$19=0,"DIV/0",ROUND(BG29/BG$19,5))))</f>
        <v>NA</v>
      </c>
      <c r="BI29" s="70">
        <f>AE29-AG29</f>
        <v>-1.3715909090909133E-2</v>
      </c>
      <c r="BJ29" s="121" t="str">
        <f>IF(BI$19="NA","NA",IF(AND(BI29=0,BI$19=0),0,IF(BI$19=0,"DIV/0",ROUND(BI29/BI$19,5))))</f>
        <v>NA</v>
      </c>
      <c r="BK29" s="70">
        <f>AF29-AG29</f>
        <v>0</v>
      </c>
      <c r="BL29" s="121">
        <f>IF(BK$19="NA","NA",IF(AND(BK29=0,BK$19=0),0,IF(BK$19=0,"DIV/0",ROUND(BK29/BK$19,5))))</f>
        <v>0</v>
      </c>
      <c r="BM29" s="58"/>
    </row>
    <row r="30" spans="1:65" ht="15" thickBot="1" x14ac:dyDescent="0.35">
      <c r="B30" s="136"/>
      <c r="C30" s="59" t="s">
        <v>60</v>
      </c>
      <c r="D30" s="82" t="s">
        <v>45</v>
      </c>
      <c r="E30" s="60">
        <f>ROUND(E7-SUMPRODUCT(F5:K5,F28:K28),10)</f>
        <v>0</v>
      </c>
      <c r="F30" s="62"/>
      <c r="G30" s="62"/>
      <c r="H30" s="62"/>
      <c r="I30" s="62"/>
      <c r="J30" s="62"/>
      <c r="K30" s="62"/>
      <c r="L30" s="60">
        <f>ROUND(L7-SUMPRODUCT(M5:R5,M28:R28),10)</f>
        <v>0</v>
      </c>
      <c r="M30" s="62"/>
      <c r="N30" s="62"/>
      <c r="O30" s="62"/>
      <c r="P30" s="62"/>
      <c r="Q30" s="62"/>
      <c r="R30" s="62"/>
      <c r="S30" s="60">
        <f>ROUND(S7-SUMPRODUCT(T5:Y5,T28:Y28),10)</f>
        <v>0</v>
      </c>
      <c r="T30" s="62"/>
      <c r="U30" s="62"/>
      <c r="V30" s="62"/>
      <c r="W30" s="62"/>
      <c r="X30" s="62"/>
      <c r="Y30" s="62"/>
      <c r="Z30" s="63"/>
      <c r="AA30" s="60">
        <f>ROUND(SUMPRODUCT(AB13:AG13,AB29:AG29)-AA16,10)</f>
        <v>0</v>
      </c>
      <c r="AB30" s="64"/>
      <c r="AC30" s="64"/>
      <c r="AD30" s="64"/>
      <c r="AE30" s="64"/>
      <c r="AF30" s="64"/>
      <c r="AG30" s="64"/>
      <c r="AH30" s="63"/>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6"/>
    </row>
    <row r="31" spans="1:65" ht="15" thickBot="1" x14ac:dyDescent="0.35">
      <c r="E31" s="3"/>
      <c r="F31" s="3"/>
      <c r="G31" s="3"/>
      <c r="H31" s="3"/>
      <c r="I31" s="3"/>
      <c r="J31" s="3"/>
      <c r="K31" s="3"/>
      <c r="L31" s="3"/>
      <c r="M31" s="3"/>
      <c r="N31" s="3"/>
      <c r="O31" s="3"/>
      <c r="P31" s="3"/>
      <c r="Q31" s="3"/>
      <c r="R31" s="3"/>
      <c r="S31" s="3"/>
      <c r="T31" s="3"/>
      <c r="U31" s="3"/>
      <c r="V31" s="3"/>
      <c r="W31" s="3"/>
      <c r="X31" s="3"/>
      <c r="Y31" s="3"/>
      <c r="Z31" s="10"/>
      <c r="AA31" s="12"/>
      <c r="AB31" s="12"/>
      <c r="AC31" s="12"/>
      <c r="AD31" s="12"/>
      <c r="AE31" s="12"/>
      <c r="AF31" s="12"/>
      <c r="AG31" s="12"/>
      <c r="AH31" s="10"/>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row>
    <row r="32" spans="1:65" ht="14.4" customHeight="1" x14ac:dyDescent="0.3">
      <c r="B32" s="134" t="s">
        <v>73</v>
      </c>
      <c r="C32" s="51" t="s">
        <v>82</v>
      </c>
      <c r="D32" s="80" t="s">
        <v>46</v>
      </c>
      <c r="E32" s="52"/>
      <c r="F32" s="117">
        <f>F25</f>
        <v>0.15</v>
      </c>
      <c r="G32" s="117">
        <f t="shared" ref="G32:K32" si="19">G25</f>
        <v>0.15749999999999997</v>
      </c>
      <c r="H32" s="117">
        <f t="shared" si="19"/>
        <v>0.14249999999999996</v>
      </c>
      <c r="I32" s="117" t="str">
        <f t="shared" si="19"/>
        <v>NA</v>
      </c>
      <c r="J32" s="117">
        <f t="shared" si="19"/>
        <v>0</v>
      </c>
      <c r="K32" s="117">
        <f t="shared" si="19"/>
        <v>0</v>
      </c>
      <c r="L32" s="52"/>
      <c r="M32" s="117">
        <f>M25</f>
        <v>3.1875000000000001E-2</v>
      </c>
      <c r="N32" s="117">
        <f t="shared" ref="N32:R32" si="20">N25</f>
        <v>0</v>
      </c>
      <c r="O32" s="117">
        <f t="shared" si="20"/>
        <v>0.11999999999999997</v>
      </c>
      <c r="P32" s="117">
        <f t="shared" si="20"/>
        <v>-0.14250000000000007</v>
      </c>
      <c r="Q32" s="117" t="str">
        <f t="shared" si="20"/>
        <v>NA</v>
      </c>
      <c r="R32" s="117" t="str">
        <f t="shared" si="20"/>
        <v>NA</v>
      </c>
      <c r="S32" s="52"/>
      <c r="T32" s="117">
        <f>T25</f>
        <v>0</v>
      </c>
      <c r="U32" s="117">
        <f t="shared" ref="U32:Y32" si="21">U25</f>
        <v>0</v>
      </c>
      <c r="V32" s="117" t="str">
        <f t="shared" si="21"/>
        <v>NA</v>
      </c>
      <c r="W32" s="117">
        <f t="shared" si="21"/>
        <v>-7.4999999999999997E-2</v>
      </c>
      <c r="X32" s="117" t="str">
        <f t="shared" si="21"/>
        <v>NA</v>
      </c>
      <c r="Y32" s="117" t="str">
        <f t="shared" si="21"/>
        <v>NA</v>
      </c>
      <c r="Z32" s="53"/>
      <c r="AA32" s="61"/>
      <c r="AB32" s="54"/>
      <c r="AC32" s="54"/>
      <c r="AD32" s="54"/>
      <c r="AE32" s="54"/>
      <c r="AF32" s="54"/>
      <c r="AG32" s="54"/>
      <c r="AH32" s="53"/>
      <c r="AI32" s="55"/>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56"/>
    </row>
    <row r="33" spans="2:65" ht="14.4" customHeight="1" x14ac:dyDescent="0.3">
      <c r="B33" s="135"/>
      <c r="C33" s="6" t="s">
        <v>58</v>
      </c>
      <c r="D33" s="81" t="s">
        <v>46</v>
      </c>
      <c r="E33" s="7"/>
      <c r="F33" s="7"/>
      <c r="G33" s="7"/>
      <c r="H33" s="7"/>
      <c r="I33" s="7"/>
      <c r="J33" s="7"/>
      <c r="K33" s="7"/>
      <c r="L33" s="7"/>
      <c r="M33" s="7"/>
      <c r="N33" s="7"/>
      <c r="O33" s="7"/>
      <c r="P33" s="7"/>
      <c r="Q33" s="7"/>
      <c r="R33" s="7"/>
      <c r="S33" s="7"/>
      <c r="T33" s="7"/>
      <c r="U33" s="7"/>
      <c r="V33" s="7"/>
      <c r="W33" s="7"/>
      <c r="X33" s="7"/>
      <c r="Y33" s="7"/>
      <c r="Z33" s="28"/>
      <c r="AA33" s="16"/>
      <c r="AB33" s="120">
        <f t="shared" ref="AB33:AG33" si="22">(IF(F5&gt;0,$E4*F5*F25,0)+IF(M5&gt;0,$L4*M5*M25,0)+IF(T5&gt;0,$S4*T5*T25,0))/(IF(F5&gt;0,$E4*F5,0)+IF(M5&gt;0,$L4*M5,0)+IF(T5&gt;0,$S4*T5,0))</f>
        <v>4.4032258064516126E-2</v>
      </c>
      <c r="AC33" s="120">
        <f t="shared" si="22"/>
        <v>1.5749999999999997E-2</v>
      </c>
      <c r="AD33" s="120">
        <f t="shared" si="22"/>
        <v>0.12661764705882347</v>
      </c>
      <c r="AE33" s="120">
        <f t="shared" si="22"/>
        <v>-0.10875000000000003</v>
      </c>
      <c r="AF33" s="120">
        <f t="shared" si="22"/>
        <v>0</v>
      </c>
      <c r="AG33" s="120">
        <f t="shared" si="22"/>
        <v>0</v>
      </c>
      <c r="AH33" s="28"/>
      <c r="AI33" s="37"/>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58"/>
    </row>
    <row r="34" spans="2:65" ht="14.4" customHeight="1" x14ac:dyDescent="0.3">
      <c r="B34" s="135"/>
      <c r="C34" s="6" t="s">
        <v>54</v>
      </c>
      <c r="D34" s="81" t="s">
        <v>45</v>
      </c>
      <c r="E34" s="8"/>
      <c r="F34" s="8"/>
      <c r="G34" s="8"/>
      <c r="H34" s="8"/>
      <c r="I34" s="8"/>
      <c r="J34" s="8"/>
      <c r="K34" s="8"/>
      <c r="L34" s="8"/>
      <c r="M34" s="8"/>
      <c r="N34" s="8"/>
      <c r="O34" s="8"/>
      <c r="P34" s="8"/>
      <c r="Q34" s="8"/>
      <c r="R34" s="8"/>
      <c r="S34" s="8"/>
      <c r="T34" s="8"/>
      <c r="U34" s="8"/>
      <c r="V34" s="8"/>
      <c r="W34" s="8"/>
      <c r="X34" s="8"/>
      <c r="Y34" s="8"/>
      <c r="Z34" s="27"/>
      <c r="AA34" s="72">
        <f>AA16-SUMPRODUCT(AB13:AG13,AB33:AG33)</f>
        <v>3000.0000000000014</v>
      </c>
      <c r="AB34" s="14"/>
      <c r="AC34" s="14"/>
      <c r="AD34" s="14"/>
      <c r="AE34" s="14"/>
      <c r="AF34" s="14"/>
      <c r="AG34" s="14"/>
      <c r="AH34" s="27"/>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57"/>
    </row>
    <row r="35" spans="2:65" x14ac:dyDescent="0.3">
      <c r="B35" s="135"/>
      <c r="C35" s="6" t="s">
        <v>55</v>
      </c>
      <c r="D35" s="81" t="s">
        <v>46</v>
      </c>
      <c r="E35" s="7"/>
      <c r="F35" s="7"/>
      <c r="G35" s="7"/>
      <c r="H35" s="7"/>
      <c r="I35" s="7"/>
      <c r="J35" s="7"/>
      <c r="K35" s="7"/>
      <c r="L35" s="7"/>
      <c r="M35" s="7"/>
      <c r="N35" s="7"/>
      <c r="O35" s="7"/>
      <c r="P35" s="7"/>
      <c r="Q35" s="7"/>
      <c r="R35" s="7"/>
      <c r="S35" s="7"/>
      <c r="T35" s="7"/>
      <c r="U35" s="7"/>
      <c r="V35" s="7"/>
      <c r="W35" s="7"/>
      <c r="X35" s="7"/>
      <c r="Y35" s="7"/>
      <c r="Z35" s="28"/>
      <c r="AA35" s="16">
        <f>AA34/$AA$13</f>
        <v>2.6315789473684223E-2</v>
      </c>
      <c r="AB35" s="31"/>
      <c r="AC35" s="31"/>
      <c r="AD35" s="31"/>
      <c r="AE35" s="31"/>
      <c r="AF35" s="31"/>
      <c r="AG35" s="31"/>
      <c r="AH35" s="28"/>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58"/>
    </row>
    <row r="36" spans="2:65" x14ac:dyDescent="0.3">
      <c r="B36" s="135"/>
      <c r="C36" s="6" t="s">
        <v>59</v>
      </c>
      <c r="D36" s="81" t="s">
        <v>46</v>
      </c>
      <c r="E36" s="24"/>
      <c r="F36" s="24"/>
      <c r="G36" s="24"/>
      <c r="H36" s="24"/>
      <c r="I36" s="24"/>
      <c r="J36" s="24"/>
      <c r="K36" s="24"/>
      <c r="L36" s="24"/>
      <c r="M36" s="24"/>
      <c r="N36" s="24"/>
      <c r="O36" s="24"/>
      <c r="P36" s="24"/>
      <c r="Q36" s="24"/>
      <c r="R36" s="24"/>
      <c r="S36" s="24"/>
      <c r="T36" s="24"/>
      <c r="U36" s="24"/>
      <c r="V36" s="24"/>
      <c r="W36" s="24"/>
      <c r="X36" s="24"/>
      <c r="Y36" s="24"/>
      <c r="Z36" s="28"/>
      <c r="AA36" s="17"/>
      <c r="AB36" s="69">
        <f>AB33+AA35</f>
        <v>7.0348047538200342E-2</v>
      </c>
      <c r="AC36" s="69">
        <f>AC33+AA35</f>
        <v>4.2065789473684223E-2</v>
      </c>
      <c r="AD36" s="31">
        <f>AD33+AA35</f>
        <v>0.15293343653250768</v>
      </c>
      <c r="AE36" s="31">
        <f>AE33+AA35</f>
        <v>-8.2434210526315804E-2</v>
      </c>
      <c r="AF36" s="31">
        <f>AF33+AA35</f>
        <v>2.6315789473684223E-2</v>
      </c>
      <c r="AG36" s="31">
        <f>AG33+AA35</f>
        <v>2.6315789473684223E-2</v>
      </c>
      <c r="AH36" s="28"/>
      <c r="AI36" s="70">
        <f>AB36-AC36</f>
        <v>2.8282258064516119E-2</v>
      </c>
      <c r="AJ36" s="121">
        <f>IF(AI$19="NA","NA",IF(AND(AI36=0,AI$19=0),0,IF(AI$19=0,"DIV/0",ROUND(AI36/AI$19,5))))</f>
        <v>1.5391699999999999</v>
      </c>
      <c r="AK36" s="70">
        <f>AB36-AD36</f>
        <v>-8.258538899430734E-2</v>
      </c>
      <c r="AL36" s="121">
        <f>IF(AK$19="NA","NA",IF(AND(AK36=0,AK$19=0),0,IF(AK$19=0,"DIV/0",ROUND(AK36/AK$19,5))))</f>
        <v>1.1090599999999999</v>
      </c>
      <c r="AM36" s="70">
        <f>AB36-AE36</f>
        <v>0.15278225806451615</v>
      </c>
      <c r="AN36" s="121">
        <f>IF(AM$19="NA","NA",IF(AND(AM36=0,AM$19=0),0,IF(AM$19=0,"DIV/0",ROUND(AM36/AM$19,5))))</f>
        <v>1.0816399999999999</v>
      </c>
      <c r="AO36" s="70">
        <f>AB36-AF36</f>
        <v>4.4032258064516119E-2</v>
      </c>
      <c r="AP36" s="121">
        <f>IF(AO$19="NA","NA",IF(AND(AO36=0,AO$19=0),0,IF(AO$19=0,"DIV/0",ROUND(AO36/AO$19,5))))</f>
        <v>0.29354999999999998</v>
      </c>
      <c r="AQ36" s="70">
        <f>AB36-AG36</f>
        <v>4.4032258064516119E-2</v>
      </c>
      <c r="AR36" s="121">
        <f>IF(AQ$19="NA","NA",IF(AND(AQ36=0,AQ$19=0),0,IF(AQ$19=0,"DIV/0",ROUND(AQ36/AQ$19,5))))</f>
        <v>0.29354999999999998</v>
      </c>
      <c r="AS36" s="70">
        <f>AC36-AD36</f>
        <v>-0.11086764705882346</v>
      </c>
      <c r="AT36" s="121">
        <f>IF(AS$19="NA","NA",IF(AND(AS36=0,AS$19=0),0,IF(AS$19=0,"DIV/0",ROUND(AS36/AS$19,5))))</f>
        <v>1.1008100000000001</v>
      </c>
      <c r="AU36" s="70">
        <f>AC36-AE36</f>
        <v>0.12450000000000003</v>
      </c>
      <c r="AV36" s="121">
        <f>IF(AU$19="NA","NA",IF(AND(AU36=0,AU$19=0),0,IF(AU$19=0,"DIV/0",ROUND(AU36/AU$19,5))))</f>
        <v>1.0375000000000001</v>
      </c>
      <c r="AW36" s="70">
        <f>AC36-AF36</f>
        <v>1.575E-2</v>
      </c>
      <c r="AX36" s="121">
        <f>IF(AW$19="NA","NA",IF(AND(AW36=0,AW$19=0),0,IF(AW$19=0,"DIV/0",ROUND(AW36/AW$19,5))))</f>
        <v>0.1</v>
      </c>
      <c r="AY36" s="70">
        <f>AC36-AG36</f>
        <v>1.575E-2</v>
      </c>
      <c r="AZ36" s="121">
        <f>IF(AY$19="NA","NA",IF(AND(AY36=0,AY$19=0),0,IF(AY$19=0,"DIV/0",ROUND(AY36/AY$19,5))))</f>
        <v>0.1</v>
      </c>
      <c r="BA36" s="70">
        <f>AD36-AE36</f>
        <v>0.23536764705882349</v>
      </c>
      <c r="BB36" s="121">
        <f>IF(BA$19="NA","NA",IF(AND(BA36=0,BA$19=0),0,IF(BA$19=0,"DIV/0",ROUND(BA36/BA$19,5))))</f>
        <v>0.89663999999999999</v>
      </c>
      <c r="BC36" s="70">
        <f>AD36-AF36</f>
        <v>0.12661764705882345</v>
      </c>
      <c r="BD36" s="121">
        <f>IF(BC$19="NA","NA",IF(AND(BC36=0,BC$19=0),0,IF(BC$19=0,"DIV/0",ROUND(BC36/BC$19,5))))</f>
        <v>0.88854</v>
      </c>
      <c r="BE36" s="70">
        <f>AD36-AG36</f>
        <v>0.12661764705882345</v>
      </c>
      <c r="BF36" s="121">
        <f>IF(BE$19="NA","NA",IF(AND(BE36=0,BE$19=0),0,IF(BE$19=0,"DIV/0",ROUND(BE36/BE$19,5))))</f>
        <v>0.88854</v>
      </c>
      <c r="BG36" s="70">
        <f>AE36-AF36</f>
        <v>-0.10875000000000003</v>
      </c>
      <c r="BH36" s="121" t="str">
        <f>IF(BG$19="NA","NA",IF(AND(BG36=0,BG$19=0),0,IF(BG$19=0,"DIV/0",ROUND(BG36/BG$19,5))))</f>
        <v>NA</v>
      </c>
      <c r="BI36" s="70">
        <f>AE36-AG36</f>
        <v>-0.10875000000000003</v>
      </c>
      <c r="BJ36" s="121" t="str">
        <f>IF(BI$19="NA","NA",IF(AND(BI36=0,BI$19=0),0,IF(BI$19=0,"DIV/0",ROUND(BI36/BI$19,5))))</f>
        <v>NA</v>
      </c>
      <c r="BK36" s="70">
        <f>AF36-AG36</f>
        <v>0</v>
      </c>
      <c r="BL36" s="121">
        <f>IF(BK$19="NA","NA",IF(AND(BK36=0,BK$19=0),0,IF(BK$19=0,"DIV/0",ROUND(BK36/BK$19,5))))</f>
        <v>0</v>
      </c>
      <c r="BM36" s="58"/>
    </row>
    <row r="37" spans="2:65" ht="15" thickBot="1" x14ac:dyDescent="0.35">
      <c r="B37" s="136"/>
      <c r="C37" s="59" t="s">
        <v>60</v>
      </c>
      <c r="D37" s="83" t="s">
        <v>45</v>
      </c>
      <c r="E37" s="62"/>
      <c r="F37" s="62"/>
      <c r="G37" s="62"/>
      <c r="H37" s="62"/>
      <c r="I37" s="62"/>
      <c r="J37" s="62"/>
      <c r="K37" s="62"/>
      <c r="L37" s="62"/>
      <c r="M37" s="62"/>
      <c r="N37" s="62"/>
      <c r="O37" s="62"/>
      <c r="P37" s="62"/>
      <c r="Q37" s="62"/>
      <c r="R37" s="62"/>
      <c r="S37" s="62"/>
      <c r="T37" s="62"/>
      <c r="U37" s="62"/>
      <c r="V37" s="62"/>
      <c r="W37" s="62"/>
      <c r="X37" s="62"/>
      <c r="Y37" s="62"/>
      <c r="Z37" s="63"/>
      <c r="AA37" s="60">
        <f>ROUND(SUMPRODUCT(AB13:AG13,AB36:AG36)-AA16,10)</f>
        <v>0</v>
      </c>
      <c r="AB37" s="64"/>
      <c r="AC37" s="64"/>
      <c r="AD37" s="64"/>
      <c r="AE37" s="64"/>
      <c r="AF37" s="64"/>
      <c r="AG37" s="64"/>
      <c r="AH37" s="63"/>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6"/>
    </row>
    <row r="38" spans="2:65" x14ac:dyDescent="0.3">
      <c r="Z38" s="10"/>
      <c r="AH38" s="10"/>
    </row>
    <row r="39" spans="2:65" x14ac:dyDescent="0.3">
      <c r="C39" s="50" t="s">
        <v>14</v>
      </c>
      <c r="D39" s="84"/>
      <c r="F39" s="11" t="s">
        <v>23</v>
      </c>
      <c r="H39" s="79" t="s">
        <v>26</v>
      </c>
      <c r="I39" s="79"/>
      <c r="K39" s="79" t="s">
        <v>27</v>
      </c>
      <c r="L39" s="79"/>
      <c r="N39" s="75" t="s">
        <v>17</v>
      </c>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row>
    <row r="40" spans="2:65" x14ac:dyDescent="0.3">
      <c r="C40" s="44" t="s">
        <v>10</v>
      </c>
      <c r="D40" s="85"/>
      <c r="F40" s="11">
        <v>100</v>
      </c>
      <c r="H40" s="79">
        <v>75</v>
      </c>
      <c r="I40" s="79"/>
      <c r="K40" s="79">
        <v>125</v>
      </c>
      <c r="L40" s="79"/>
      <c r="N40" s="91" t="s">
        <v>61</v>
      </c>
      <c r="O40" s="132" t="s">
        <v>124</v>
      </c>
      <c r="P40" s="132"/>
      <c r="Q40" s="132"/>
      <c r="R40" s="132"/>
      <c r="S40" s="132"/>
      <c r="T40" s="132"/>
      <c r="U40" s="132"/>
      <c r="V40" s="132"/>
      <c r="W40" s="132"/>
      <c r="X40" s="132"/>
      <c r="Y40" s="132"/>
      <c r="Z40" s="132"/>
      <c r="AA40" s="132"/>
      <c r="AB40" s="132"/>
      <c r="AC40" s="132"/>
      <c r="AD40" s="132"/>
      <c r="AE40" s="132"/>
      <c r="AF40" s="132"/>
      <c r="AG40" s="132"/>
    </row>
    <row r="41" spans="2:65" x14ac:dyDescent="0.3">
      <c r="C41" s="11"/>
      <c r="D41" s="86"/>
      <c r="N41" s="11"/>
      <c r="O41" s="132"/>
      <c r="P41" s="132"/>
      <c r="Q41" s="132"/>
      <c r="R41" s="132"/>
      <c r="S41" s="132"/>
      <c r="T41" s="132"/>
      <c r="U41" s="132"/>
      <c r="V41" s="132"/>
      <c r="W41" s="132"/>
      <c r="X41" s="132"/>
      <c r="Y41" s="132"/>
      <c r="Z41" s="132"/>
      <c r="AA41" s="132"/>
      <c r="AB41" s="132"/>
      <c r="AC41" s="132"/>
      <c r="AD41" s="132"/>
      <c r="AE41" s="132"/>
      <c r="AF41" s="132"/>
      <c r="AG41" s="132"/>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row>
    <row r="42" spans="2:65" x14ac:dyDescent="0.3">
      <c r="C42" s="45" t="s">
        <v>11</v>
      </c>
      <c r="D42" s="85"/>
      <c r="N42" s="91" t="s">
        <v>67</v>
      </c>
      <c r="O42" s="132" t="s">
        <v>83</v>
      </c>
      <c r="P42" s="132"/>
      <c r="Q42" s="132"/>
      <c r="R42" s="132"/>
      <c r="S42" s="132"/>
      <c r="T42" s="132"/>
      <c r="U42" s="132"/>
      <c r="V42" s="132"/>
      <c r="W42" s="132"/>
      <c r="X42" s="132"/>
      <c r="Y42" s="132"/>
      <c r="Z42" s="132"/>
      <c r="AA42" s="132"/>
      <c r="AB42" s="132"/>
      <c r="AC42" s="132"/>
      <c r="AD42" s="132"/>
      <c r="AE42" s="132"/>
      <c r="AF42" s="132"/>
      <c r="AG42" s="132"/>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row>
    <row r="43" spans="2:65" x14ac:dyDescent="0.3">
      <c r="C43" s="11"/>
      <c r="D43" s="87"/>
      <c r="N43" s="11"/>
      <c r="O43" s="132"/>
      <c r="P43" s="132"/>
      <c r="Q43" s="132"/>
      <c r="R43" s="132"/>
      <c r="S43" s="132"/>
      <c r="T43" s="132"/>
      <c r="U43" s="132"/>
      <c r="V43" s="132"/>
      <c r="W43" s="132"/>
      <c r="X43" s="132"/>
      <c r="Y43" s="132"/>
      <c r="Z43" s="132"/>
      <c r="AA43" s="132"/>
      <c r="AB43" s="132"/>
      <c r="AC43" s="132"/>
      <c r="AD43" s="132"/>
      <c r="AE43" s="132"/>
      <c r="AF43" s="132"/>
      <c r="AG43" s="132"/>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row>
    <row r="44" spans="2:65" x14ac:dyDescent="0.3">
      <c r="C44" s="46" t="s">
        <v>12</v>
      </c>
      <c r="D44" s="85"/>
      <c r="N44" s="91" t="s">
        <v>66</v>
      </c>
      <c r="O44" s="132" t="s">
        <v>72</v>
      </c>
      <c r="P44" s="132"/>
      <c r="Q44" s="132"/>
      <c r="R44" s="132"/>
      <c r="S44" s="132"/>
      <c r="T44" s="132"/>
      <c r="U44" s="132"/>
      <c r="V44" s="132"/>
      <c r="W44" s="132"/>
      <c r="X44" s="132"/>
      <c r="Y44" s="132"/>
      <c r="Z44" s="132"/>
      <c r="AA44" s="132"/>
      <c r="AB44" s="132"/>
      <c r="AC44" s="132"/>
      <c r="AD44" s="132"/>
      <c r="AE44" s="132"/>
      <c r="AF44" s="132"/>
      <c r="AG44" s="132"/>
    </row>
    <row r="45" spans="2:65" x14ac:dyDescent="0.3">
      <c r="C45" s="11"/>
      <c r="D45" s="88"/>
      <c r="N45" s="11"/>
      <c r="O45" s="132"/>
      <c r="P45" s="132"/>
      <c r="Q45" s="132"/>
      <c r="R45" s="132"/>
      <c r="S45" s="132"/>
      <c r="T45" s="132"/>
      <c r="U45" s="132"/>
      <c r="V45" s="132"/>
      <c r="W45" s="132"/>
      <c r="X45" s="132"/>
      <c r="Y45" s="132"/>
      <c r="Z45" s="132"/>
      <c r="AA45" s="132"/>
      <c r="AB45" s="132"/>
      <c r="AC45" s="132"/>
      <c r="AD45" s="132"/>
      <c r="AE45" s="132"/>
      <c r="AF45" s="132"/>
      <c r="AG45" s="132"/>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row>
    <row r="46" spans="2:65" x14ac:dyDescent="0.3">
      <c r="C46" s="47" t="s">
        <v>41</v>
      </c>
      <c r="D46" s="85"/>
      <c r="N46" s="91" t="s">
        <v>65</v>
      </c>
      <c r="O46" s="132" t="s">
        <v>69</v>
      </c>
      <c r="P46" s="132"/>
      <c r="Q46" s="132"/>
      <c r="R46" s="132"/>
      <c r="S46" s="132"/>
      <c r="T46" s="132"/>
      <c r="U46" s="132"/>
      <c r="V46" s="132"/>
      <c r="W46" s="132"/>
      <c r="X46" s="132"/>
      <c r="Y46" s="132"/>
      <c r="Z46" s="132"/>
      <c r="AA46" s="132"/>
      <c r="AB46" s="132"/>
      <c r="AC46" s="132"/>
      <c r="AD46" s="132"/>
      <c r="AE46" s="132"/>
      <c r="AF46" s="132"/>
      <c r="AG46" s="132"/>
    </row>
    <row r="47" spans="2:65" x14ac:dyDescent="0.3">
      <c r="C47" s="11"/>
      <c r="D47" s="81"/>
      <c r="I47" s="71" t="s">
        <v>3</v>
      </c>
      <c r="J47" s="42">
        <v>2.9999999999999997E-4</v>
      </c>
      <c r="N47" s="11"/>
      <c r="O47" s="132"/>
      <c r="P47" s="132"/>
      <c r="Q47" s="132"/>
      <c r="R47" s="132"/>
      <c r="S47" s="132"/>
      <c r="T47" s="132"/>
      <c r="U47" s="132"/>
      <c r="V47" s="132"/>
      <c r="W47" s="132"/>
      <c r="X47" s="132"/>
      <c r="Y47" s="132"/>
      <c r="Z47" s="132"/>
      <c r="AA47" s="132"/>
      <c r="AB47" s="132"/>
      <c r="AC47" s="132"/>
      <c r="AD47" s="132"/>
      <c r="AE47" s="132"/>
      <c r="AF47" s="132"/>
      <c r="AG47" s="132"/>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row>
    <row r="48" spans="2:65" x14ac:dyDescent="0.3">
      <c r="C48" s="48" t="s">
        <v>13</v>
      </c>
      <c r="D48" s="85"/>
      <c r="N48" s="91" t="s">
        <v>64</v>
      </c>
      <c r="O48" s="132" t="s">
        <v>81</v>
      </c>
      <c r="P48" s="132"/>
      <c r="Q48" s="132"/>
      <c r="R48" s="132"/>
      <c r="S48" s="132"/>
      <c r="T48" s="132"/>
      <c r="U48" s="132"/>
      <c r="V48" s="132"/>
      <c r="W48" s="132"/>
      <c r="X48" s="132"/>
      <c r="Y48" s="132"/>
      <c r="Z48" s="132"/>
      <c r="AA48" s="132"/>
      <c r="AB48" s="132"/>
      <c r="AC48" s="132"/>
      <c r="AD48" s="132"/>
      <c r="AE48" s="132"/>
      <c r="AF48" s="132"/>
      <c r="AG48" s="132"/>
      <c r="AH48" s="10"/>
    </row>
    <row r="49" spans="3:34" x14ac:dyDescent="0.3">
      <c r="C49" s="11"/>
      <c r="D49" s="89"/>
      <c r="N49" s="11"/>
      <c r="O49" s="132"/>
      <c r="P49" s="132"/>
      <c r="Q49" s="132"/>
      <c r="R49" s="132"/>
      <c r="S49" s="132"/>
      <c r="T49" s="132"/>
      <c r="U49" s="132"/>
      <c r="V49" s="132"/>
      <c r="W49" s="132"/>
      <c r="X49" s="132"/>
      <c r="Y49" s="132"/>
      <c r="Z49" s="132"/>
      <c r="AA49" s="132"/>
      <c r="AB49" s="132"/>
      <c r="AC49" s="132"/>
      <c r="AD49" s="132"/>
      <c r="AE49" s="132"/>
      <c r="AF49" s="132"/>
      <c r="AG49" s="132"/>
      <c r="AH49" s="10"/>
    </row>
    <row r="50" spans="3:34" ht="15" customHeight="1" x14ac:dyDescent="0.3">
      <c r="C50" s="49" t="s">
        <v>9</v>
      </c>
      <c r="D50" s="85"/>
      <c r="N50" s="91" t="s">
        <v>63</v>
      </c>
      <c r="O50" s="132" t="s">
        <v>84</v>
      </c>
      <c r="P50" s="132"/>
      <c r="Q50" s="132"/>
      <c r="R50" s="132"/>
      <c r="S50" s="132"/>
      <c r="T50" s="132"/>
      <c r="U50" s="132"/>
      <c r="V50" s="132"/>
      <c r="W50" s="132"/>
      <c r="X50" s="132"/>
      <c r="Y50" s="132"/>
      <c r="Z50" s="132"/>
      <c r="AA50" s="132"/>
      <c r="AB50" s="132"/>
      <c r="AC50" s="132"/>
      <c r="AD50" s="132"/>
      <c r="AE50" s="132"/>
      <c r="AF50" s="132"/>
      <c r="AG50" s="132"/>
      <c r="AH50" s="10"/>
    </row>
    <row r="51" spans="3:34" x14ac:dyDescent="0.3">
      <c r="D51" s="90"/>
      <c r="N51" s="11"/>
      <c r="O51" s="132"/>
      <c r="P51" s="132"/>
      <c r="Q51" s="132"/>
      <c r="R51" s="132"/>
      <c r="S51" s="132"/>
      <c r="T51" s="132"/>
      <c r="U51" s="132"/>
      <c r="V51" s="132"/>
      <c r="W51" s="132"/>
      <c r="X51" s="132"/>
      <c r="Y51" s="132"/>
      <c r="Z51" s="132"/>
      <c r="AA51" s="132"/>
      <c r="AB51" s="132"/>
      <c r="AC51" s="132"/>
      <c r="AD51" s="132"/>
      <c r="AE51" s="132"/>
      <c r="AF51" s="132"/>
      <c r="AG51" s="132"/>
      <c r="AH51" s="10"/>
    </row>
    <row r="52" spans="3:34" x14ac:dyDescent="0.3">
      <c r="C52" s="96" t="s">
        <v>76</v>
      </c>
      <c r="D52" s="85"/>
      <c r="N52" s="91" t="s">
        <v>62</v>
      </c>
      <c r="O52" s="132" t="s">
        <v>125</v>
      </c>
      <c r="P52" s="132"/>
      <c r="Q52" s="132"/>
      <c r="R52" s="132"/>
      <c r="S52" s="132"/>
      <c r="T52" s="132"/>
      <c r="U52" s="132"/>
      <c r="V52" s="132"/>
      <c r="W52" s="132"/>
      <c r="X52" s="132"/>
      <c r="Y52" s="132"/>
      <c r="Z52" s="132"/>
      <c r="AA52" s="132"/>
      <c r="AB52" s="132"/>
      <c r="AC52" s="132"/>
      <c r="AD52" s="132"/>
      <c r="AE52" s="132"/>
      <c r="AF52" s="132"/>
      <c r="AG52" s="132"/>
      <c r="AH52" s="10"/>
    </row>
    <row r="53" spans="3:34" ht="15" thickBot="1" x14ac:dyDescent="0.35">
      <c r="D53" s="81"/>
      <c r="N53" s="11"/>
      <c r="O53" s="132"/>
      <c r="P53" s="132"/>
      <c r="Q53" s="132"/>
      <c r="R53" s="132"/>
      <c r="S53" s="132"/>
      <c r="T53" s="132"/>
      <c r="U53" s="132"/>
      <c r="V53" s="132"/>
      <c r="W53" s="132"/>
      <c r="X53" s="132"/>
      <c r="Y53" s="132"/>
      <c r="Z53" s="132"/>
      <c r="AA53" s="132"/>
      <c r="AB53" s="132"/>
      <c r="AC53" s="132"/>
      <c r="AD53" s="132"/>
      <c r="AE53" s="132"/>
      <c r="AF53" s="132"/>
      <c r="AG53" s="132"/>
      <c r="AH53" s="10"/>
    </row>
    <row r="54" spans="3:34" ht="15" thickBot="1" x14ac:dyDescent="0.35">
      <c r="C54" s="67" t="s">
        <v>15</v>
      </c>
      <c r="D54" s="85"/>
      <c r="N54" s="91" t="s">
        <v>87</v>
      </c>
      <c r="O54" s="132" t="s">
        <v>126</v>
      </c>
      <c r="P54" s="132"/>
      <c r="Q54" s="132"/>
      <c r="R54" s="132"/>
      <c r="S54" s="132"/>
      <c r="T54" s="132"/>
      <c r="U54" s="132"/>
      <c r="V54" s="132"/>
      <c r="W54" s="132"/>
      <c r="X54" s="132"/>
      <c r="Y54" s="132"/>
      <c r="Z54" s="132"/>
      <c r="AA54" s="132"/>
      <c r="AB54" s="132"/>
      <c r="AC54" s="132"/>
      <c r="AD54" s="132"/>
      <c r="AE54" s="132"/>
      <c r="AF54" s="132"/>
      <c r="AG54" s="132"/>
    </row>
    <row r="55" spans="3:34" x14ac:dyDescent="0.3">
      <c r="F55" s="11" t="s">
        <v>24</v>
      </c>
      <c r="I55" s="11" t="s">
        <v>25</v>
      </c>
      <c r="K55" s="11" t="s">
        <v>25</v>
      </c>
      <c r="N55" s="11"/>
      <c r="O55" s="132"/>
      <c r="P55" s="132"/>
      <c r="Q55" s="132"/>
      <c r="R55" s="132"/>
      <c r="S55" s="132"/>
      <c r="T55" s="132"/>
      <c r="U55" s="132"/>
      <c r="V55" s="132"/>
      <c r="W55" s="132"/>
      <c r="X55" s="132"/>
      <c r="Y55" s="132"/>
      <c r="Z55" s="132"/>
      <c r="AA55" s="132"/>
      <c r="AB55" s="132"/>
      <c r="AC55" s="132"/>
      <c r="AD55" s="132"/>
      <c r="AE55" s="132"/>
      <c r="AF55" s="132"/>
      <c r="AG55" s="132"/>
    </row>
    <row r="56" spans="3:34" x14ac:dyDescent="0.3">
      <c r="F56" s="11">
        <v>50</v>
      </c>
      <c r="I56" s="11">
        <v>75</v>
      </c>
      <c r="K56" s="11">
        <v>100</v>
      </c>
    </row>
  </sheetData>
  <mergeCells count="11">
    <mergeCell ref="O54:AG55"/>
    <mergeCell ref="B20:B23"/>
    <mergeCell ref="B25:B30"/>
    <mergeCell ref="B32:B37"/>
    <mergeCell ref="O42:AG43"/>
    <mergeCell ref="O40:AG41"/>
    <mergeCell ref="O44:AG45"/>
    <mergeCell ref="O46:AG47"/>
    <mergeCell ref="O48:AG49"/>
    <mergeCell ref="O50:AG51"/>
    <mergeCell ref="O52:AG53"/>
  </mergeCells>
  <conditionalFormatting sqref="AA30">
    <cfRule type="cellIs" dxfId="383" priority="611" operator="equal">
      <formula>0</formula>
    </cfRule>
    <cfRule type="cellIs" dxfId="382" priority="612" operator="equal">
      <formula>" -   "</formula>
    </cfRule>
  </conditionalFormatting>
  <conditionalFormatting sqref="AA37">
    <cfRule type="cellIs" dxfId="381" priority="603" operator="equal">
      <formula>0</formula>
    </cfRule>
    <cfRule type="cellIs" dxfId="380" priority="604" operator="equal">
      <formula>" -   "</formula>
    </cfRule>
  </conditionalFormatting>
  <conditionalFormatting sqref="AL19">
    <cfRule type="cellIs" dxfId="379" priority="483" operator="equal">
      <formula>1</formula>
    </cfRule>
    <cfRule type="cellIs" dxfId="378" priority="484" operator="equal">
      <formula>0</formula>
    </cfRule>
    <cfRule type="cellIs" dxfId="377" priority="485" operator="equal">
      <formula>" -   "</formula>
    </cfRule>
  </conditionalFormatting>
  <conditionalFormatting sqref="AJ19">
    <cfRule type="cellIs" dxfId="376" priority="480" operator="equal">
      <formula>1</formula>
    </cfRule>
    <cfRule type="cellIs" dxfId="375" priority="481" operator="equal">
      <formula>0</formula>
    </cfRule>
    <cfRule type="cellIs" dxfId="374" priority="482" operator="equal">
      <formula>" -   "</formula>
    </cfRule>
  </conditionalFormatting>
  <conditionalFormatting sqref="AT19">
    <cfRule type="cellIs" dxfId="373" priority="477" operator="equal">
      <formula>1</formula>
    </cfRule>
    <cfRule type="cellIs" dxfId="372" priority="478" operator="equal">
      <formula>0</formula>
    </cfRule>
    <cfRule type="cellIs" dxfId="371" priority="479" operator="equal">
      <formula>" -   "</formula>
    </cfRule>
  </conditionalFormatting>
  <conditionalFormatting sqref="AA23">
    <cfRule type="cellIs" dxfId="370" priority="385" operator="equal">
      <formula>0</formula>
    </cfRule>
    <cfRule type="cellIs" dxfId="369" priority="386" operator="equal">
      <formula>" -   "</formula>
    </cfRule>
  </conditionalFormatting>
  <conditionalFormatting sqref="S30">
    <cfRule type="cellIs" dxfId="368" priority="372" operator="equal">
      <formula>0</formula>
    </cfRule>
    <cfRule type="cellIs" dxfId="367" priority="373" operator="equal">
      <formula>" -   "</formula>
    </cfRule>
  </conditionalFormatting>
  <conditionalFormatting sqref="AN19">
    <cfRule type="cellIs" dxfId="366" priority="363" operator="equal">
      <formula>1</formula>
    </cfRule>
    <cfRule type="cellIs" dxfId="365" priority="364" operator="equal">
      <formula>0</formula>
    </cfRule>
    <cfRule type="cellIs" dxfId="364" priority="365" operator="equal">
      <formula>" -   "</formula>
    </cfRule>
  </conditionalFormatting>
  <conditionalFormatting sqref="AP19">
    <cfRule type="cellIs" dxfId="363" priority="351" operator="equal">
      <formula>1</formula>
    </cfRule>
    <cfRule type="cellIs" dxfId="362" priority="352" operator="equal">
      <formula>0</formula>
    </cfRule>
    <cfRule type="cellIs" dxfId="361" priority="353" operator="equal">
      <formula>" -   "</formula>
    </cfRule>
  </conditionalFormatting>
  <conditionalFormatting sqref="AZ19">
    <cfRule type="cellIs" dxfId="360" priority="303" operator="equal">
      <formula>1</formula>
    </cfRule>
    <cfRule type="cellIs" dxfId="359" priority="304" operator="equal">
      <formula>0</formula>
    </cfRule>
    <cfRule type="cellIs" dxfId="358" priority="305" operator="equal">
      <formula>" -   "</formula>
    </cfRule>
  </conditionalFormatting>
  <conditionalFormatting sqref="AR19">
    <cfRule type="cellIs" dxfId="357" priority="339" operator="equal">
      <formula>1</formula>
    </cfRule>
    <cfRule type="cellIs" dxfId="356" priority="340" operator="equal">
      <formula>0</formula>
    </cfRule>
    <cfRule type="cellIs" dxfId="355" priority="341" operator="equal">
      <formula>" -   "</formula>
    </cfRule>
  </conditionalFormatting>
  <conditionalFormatting sqref="BB19">
    <cfRule type="cellIs" dxfId="354" priority="291" operator="equal">
      <formula>1</formula>
    </cfRule>
    <cfRule type="cellIs" dxfId="353" priority="292" operator="equal">
      <formula>0</formula>
    </cfRule>
    <cfRule type="cellIs" dxfId="352" priority="293" operator="equal">
      <formula>" -   "</formula>
    </cfRule>
  </conditionalFormatting>
  <conditionalFormatting sqref="AV19">
    <cfRule type="cellIs" dxfId="351" priority="327" operator="equal">
      <formula>1</formula>
    </cfRule>
    <cfRule type="cellIs" dxfId="350" priority="328" operator="equal">
      <formula>0</formula>
    </cfRule>
    <cfRule type="cellIs" dxfId="349" priority="329" operator="equal">
      <formula>" -   "</formula>
    </cfRule>
  </conditionalFormatting>
  <conditionalFormatting sqref="AX19">
    <cfRule type="cellIs" dxfId="348" priority="315" operator="equal">
      <formula>1</formula>
    </cfRule>
    <cfRule type="cellIs" dxfId="347" priority="316" operator="equal">
      <formula>0</formula>
    </cfRule>
    <cfRule type="cellIs" dxfId="346" priority="317" operator="equal">
      <formula>" -   "</formula>
    </cfRule>
  </conditionalFormatting>
  <conditionalFormatting sqref="BF19">
    <cfRule type="cellIs" dxfId="345" priority="267" operator="equal">
      <formula>1</formula>
    </cfRule>
    <cfRule type="cellIs" dxfId="344" priority="268" operator="equal">
      <formula>0</formula>
    </cfRule>
    <cfRule type="cellIs" dxfId="343" priority="269" operator="equal">
      <formula>" -   "</formula>
    </cfRule>
  </conditionalFormatting>
  <conditionalFormatting sqref="BL19">
    <cfRule type="cellIs" dxfId="342" priority="231" operator="equal">
      <formula>1</formula>
    </cfRule>
    <cfRule type="cellIs" dxfId="341" priority="232" operator="equal">
      <formula>0</formula>
    </cfRule>
    <cfRule type="cellIs" dxfId="340" priority="233" operator="equal">
      <formula>" -   "</formula>
    </cfRule>
  </conditionalFormatting>
  <conditionalFormatting sqref="BH19">
    <cfRule type="cellIs" dxfId="339" priority="255" operator="equal">
      <formula>1</formula>
    </cfRule>
    <cfRule type="cellIs" dxfId="338" priority="256" operator="equal">
      <formula>0</formula>
    </cfRule>
    <cfRule type="cellIs" dxfId="337" priority="257" operator="equal">
      <formula>" -   "</formula>
    </cfRule>
  </conditionalFormatting>
  <conditionalFormatting sqref="BD19">
    <cfRule type="cellIs" dxfId="336" priority="279" operator="equal">
      <formula>1</formula>
    </cfRule>
    <cfRule type="cellIs" dxfId="335" priority="280" operator="equal">
      <formula>0</formula>
    </cfRule>
    <cfRule type="cellIs" dxfId="334" priority="281" operator="equal">
      <formula>" -   "</formula>
    </cfRule>
  </conditionalFormatting>
  <conditionalFormatting sqref="BJ19">
    <cfRule type="cellIs" dxfId="333" priority="243" operator="equal">
      <formula>1</formula>
    </cfRule>
    <cfRule type="cellIs" dxfId="332" priority="244" operator="equal">
      <formula>0</formula>
    </cfRule>
    <cfRule type="cellIs" dxfId="331" priority="245" operator="equal">
      <formula>" -   "</formula>
    </cfRule>
  </conditionalFormatting>
  <conditionalFormatting sqref="L30">
    <cfRule type="cellIs" dxfId="330" priority="168" operator="equal">
      <formula>0</formula>
    </cfRule>
    <cfRule type="cellIs" dxfId="329" priority="169" operator="equal">
      <formula>" -   "</formula>
    </cfRule>
  </conditionalFormatting>
  <conditionalFormatting sqref="E30">
    <cfRule type="cellIs" dxfId="328" priority="166" operator="equal">
      <formula>0</formula>
    </cfRule>
    <cfRule type="cellIs" dxfId="327" priority="167" operator="equal">
      <formula>" -   "</formula>
    </cfRule>
  </conditionalFormatting>
  <conditionalFormatting sqref="AR29">
    <cfRule type="cellIs" dxfId="326" priority="40" operator="equal">
      <formula>1</formula>
    </cfRule>
    <cfRule type="cellIs" dxfId="325" priority="41" operator="equal">
      <formula>0</formula>
    </cfRule>
    <cfRule type="cellIs" dxfId="324" priority="42" operator="equal">
      <formula>" -   "</formula>
    </cfRule>
  </conditionalFormatting>
  <conditionalFormatting sqref="AP36">
    <cfRule type="cellIs" dxfId="323" priority="34" operator="equal">
      <formula>1</formula>
    </cfRule>
    <cfRule type="cellIs" dxfId="322" priority="35" operator="equal">
      <formula>0</formula>
    </cfRule>
    <cfRule type="cellIs" dxfId="321" priority="36" operator="equal">
      <formula>" -   "</formula>
    </cfRule>
  </conditionalFormatting>
  <conditionalFormatting sqref="AT22">
    <cfRule type="cellIs" dxfId="320" priority="46" operator="equal">
      <formula>1</formula>
    </cfRule>
    <cfRule type="cellIs" dxfId="319" priority="47" operator="equal">
      <formula>0</formula>
    </cfRule>
    <cfRule type="cellIs" dxfId="318" priority="48" operator="equal">
      <formula>" -   "</formula>
    </cfRule>
  </conditionalFormatting>
  <conditionalFormatting sqref="AJ36">
    <cfRule type="cellIs" dxfId="317" priority="1" operator="equal">
      <formula>1</formula>
    </cfRule>
    <cfRule type="cellIs" dxfId="316" priority="2" operator="equal">
      <formula>0</formula>
    </cfRule>
    <cfRule type="cellIs" dxfId="315" priority="3" operator="equal">
      <formula>" -   "</formula>
    </cfRule>
  </conditionalFormatting>
  <conditionalFormatting sqref="AL22">
    <cfRule type="cellIs" dxfId="314" priority="10" operator="equal">
      <formula>1</formula>
    </cfRule>
    <cfRule type="cellIs" dxfId="313" priority="11" operator="equal">
      <formula>0</formula>
    </cfRule>
    <cfRule type="cellIs" dxfId="312" priority="12" operator="equal">
      <formula>" -   "</formula>
    </cfRule>
  </conditionalFormatting>
  <conditionalFormatting sqref="AJ29">
    <cfRule type="cellIs" dxfId="311" priority="4" operator="equal">
      <formula>1</formula>
    </cfRule>
    <cfRule type="cellIs" dxfId="310" priority="5" operator="equal">
      <formula>0</formula>
    </cfRule>
    <cfRule type="cellIs" dxfId="309" priority="6" operator="equal">
      <formula>" -   "</formula>
    </cfRule>
  </conditionalFormatting>
  <conditionalFormatting sqref="BL22">
    <cfRule type="cellIs" dxfId="308" priority="133" operator="equal">
      <formula>1</formula>
    </cfRule>
    <cfRule type="cellIs" dxfId="307" priority="134" operator="equal">
      <formula>0</formula>
    </cfRule>
    <cfRule type="cellIs" dxfId="306" priority="135" operator="equal">
      <formula>" -   "</formula>
    </cfRule>
  </conditionalFormatting>
  <conditionalFormatting sqref="BL29">
    <cfRule type="cellIs" dxfId="305" priority="130" operator="equal">
      <formula>1</formula>
    </cfRule>
    <cfRule type="cellIs" dxfId="304" priority="131" operator="equal">
      <formula>0</formula>
    </cfRule>
    <cfRule type="cellIs" dxfId="303" priority="132" operator="equal">
      <formula>" -   "</formula>
    </cfRule>
  </conditionalFormatting>
  <conditionalFormatting sqref="BL36">
    <cfRule type="cellIs" dxfId="302" priority="127" operator="equal">
      <formula>1</formula>
    </cfRule>
    <cfRule type="cellIs" dxfId="301" priority="128" operator="equal">
      <formula>0</formula>
    </cfRule>
    <cfRule type="cellIs" dxfId="300" priority="129" operator="equal">
      <formula>" -   "</formula>
    </cfRule>
  </conditionalFormatting>
  <conditionalFormatting sqref="BJ36">
    <cfRule type="cellIs" dxfId="299" priority="124" operator="equal">
      <formula>1</formula>
    </cfRule>
    <cfRule type="cellIs" dxfId="298" priority="125" operator="equal">
      <formula>0</formula>
    </cfRule>
    <cfRule type="cellIs" dxfId="297" priority="126" operator="equal">
      <formula>" -   "</formula>
    </cfRule>
  </conditionalFormatting>
  <conditionalFormatting sqref="BJ29">
    <cfRule type="cellIs" dxfId="296" priority="121" operator="equal">
      <formula>1</formula>
    </cfRule>
    <cfRule type="cellIs" dxfId="295" priority="122" operator="equal">
      <formula>0</formula>
    </cfRule>
    <cfRule type="cellIs" dxfId="294" priority="123" operator="equal">
      <formula>" -   "</formula>
    </cfRule>
  </conditionalFormatting>
  <conditionalFormatting sqref="BJ22">
    <cfRule type="cellIs" dxfId="293" priority="118" operator="equal">
      <formula>1</formula>
    </cfRule>
    <cfRule type="cellIs" dxfId="292" priority="119" operator="equal">
      <formula>0</formula>
    </cfRule>
    <cfRule type="cellIs" dxfId="291" priority="120" operator="equal">
      <formula>" -   "</formula>
    </cfRule>
  </conditionalFormatting>
  <conditionalFormatting sqref="BH22">
    <cfRule type="cellIs" dxfId="290" priority="115" operator="equal">
      <formula>1</formula>
    </cfRule>
    <cfRule type="cellIs" dxfId="289" priority="116" operator="equal">
      <formula>0</formula>
    </cfRule>
    <cfRule type="cellIs" dxfId="288" priority="117" operator="equal">
      <formula>" -   "</formula>
    </cfRule>
  </conditionalFormatting>
  <conditionalFormatting sqref="BH29">
    <cfRule type="cellIs" dxfId="287" priority="112" operator="equal">
      <formula>1</formula>
    </cfRule>
    <cfRule type="cellIs" dxfId="286" priority="113" operator="equal">
      <formula>0</formula>
    </cfRule>
    <cfRule type="cellIs" dxfId="285" priority="114" operator="equal">
      <formula>" -   "</formula>
    </cfRule>
  </conditionalFormatting>
  <conditionalFormatting sqref="BH36">
    <cfRule type="cellIs" dxfId="284" priority="109" operator="equal">
      <formula>1</formula>
    </cfRule>
    <cfRule type="cellIs" dxfId="283" priority="110" operator="equal">
      <formula>0</formula>
    </cfRule>
    <cfRule type="cellIs" dxfId="282" priority="111" operator="equal">
      <formula>" -   "</formula>
    </cfRule>
  </conditionalFormatting>
  <conditionalFormatting sqref="BF36">
    <cfRule type="cellIs" dxfId="281" priority="106" operator="equal">
      <formula>1</formula>
    </cfRule>
    <cfRule type="cellIs" dxfId="280" priority="107" operator="equal">
      <formula>0</formula>
    </cfRule>
    <cfRule type="cellIs" dxfId="279" priority="108" operator="equal">
      <formula>" -   "</formula>
    </cfRule>
  </conditionalFormatting>
  <conditionalFormatting sqref="BF29">
    <cfRule type="cellIs" dxfId="278" priority="103" operator="equal">
      <formula>1</formula>
    </cfRule>
    <cfRule type="cellIs" dxfId="277" priority="104" operator="equal">
      <formula>0</formula>
    </cfRule>
    <cfRule type="cellIs" dxfId="276" priority="105" operator="equal">
      <formula>" -   "</formula>
    </cfRule>
  </conditionalFormatting>
  <conditionalFormatting sqref="BF22">
    <cfRule type="cellIs" dxfId="275" priority="100" operator="equal">
      <formula>1</formula>
    </cfRule>
    <cfRule type="cellIs" dxfId="274" priority="101" operator="equal">
      <formula>0</formula>
    </cfRule>
    <cfRule type="cellIs" dxfId="273" priority="102" operator="equal">
      <formula>" -   "</formula>
    </cfRule>
  </conditionalFormatting>
  <conditionalFormatting sqref="BD22">
    <cfRule type="cellIs" dxfId="272" priority="97" operator="equal">
      <formula>1</formula>
    </cfRule>
    <cfRule type="cellIs" dxfId="271" priority="98" operator="equal">
      <formula>0</formula>
    </cfRule>
    <cfRule type="cellIs" dxfId="270" priority="99" operator="equal">
      <formula>" -   "</formula>
    </cfRule>
  </conditionalFormatting>
  <conditionalFormatting sqref="BD29">
    <cfRule type="cellIs" dxfId="269" priority="94" operator="equal">
      <formula>1</formula>
    </cfRule>
    <cfRule type="cellIs" dxfId="268" priority="95" operator="equal">
      <formula>0</formula>
    </cfRule>
    <cfRule type="cellIs" dxfId="267" priority="96" operator="equal">
      <formula>" -   "</formula>
    </cfRule>
  </conditionalFormatting>
  <conditionalFormatting sqref="BD36">
    <cfRule type="cellIs" dxfId="266" priority="91" operator="equal">
      <formula>1</formula>
    </cfRule>
    <cfRule type="cellIs" dxfId="265" priority="92" operator="equal">
      <formula>0</formula>
    </cfRule>
    <cfRule type="cellIs" dxfId="264" priority="93" operator="equal">
      <formula>" -   "</formula>
    </cfRule>
  </conditionalFormatting>
  <conditionalFormatting sqref="BB36">
    <cfRule type="cellIs" dxfId="263" priority="88" operator="equal">
      <formula>1</formula>
    </cfRule>
    <cfRule type="cellIs" dxfId="262" priority="89" operator="equal">
      <formula>0</formula>
    </cfRule>
    <cfRule type="cellIs" dxfId="261" priority="90" operator="equal">
      <formula>" -   "</formula>
    </cfRule>
  </conditionalFormatting>
  <conditionalFormatting sqref="BB29">
    <cfRule type="cellIs" dxfId="260" priority="85" operator="equal">
      <formula>1</formula>
    </cfRule>
    <cfRule type="cellIs" dxfId="259" priority="86" operator="equal">
      <formula>0</formula>
    </cfRule>
    <cfRule type="cellIs" dxfId="258" priority="87" operator="equal">
      <formula>" -   "</formula>
    </cfRule>
  </conditionalFormatting>
  <conditionalFormatting sqref="BB22">
    <cfRule type="cellIs" dxfId="257" priority="82" operator="equal">
      <formula>1</formula>
    </cfRule>
    <cfRule type="cellIs" dxfId="256" priority="83" operator="equal">
      <formula>0</formula>
    </cfRule>
    <cfRule type="cellIs" dxfId="255" priority="84" operator="equal">
      <formula>" -   "</formula>
    </cfRule>
  </conditionalFormatting>
  <conditionalFormatting sqref="AZ22">
    <cfRule type="cellIs" dxfId="254" priority="79" operator="equal">
      <formula>1</formula>
    </cfRule>
    <cfRule type="cellIs" dxfId="253" priority="80" operator="equal">
      <formula>0</formula>
    </cfRule>
    <cfRule type="cellIs" dxfId="252" priority="81" operator="equal">
      <formula>" -   "</formula>
    </cfRule>
  </conditionalFormatting>
  <conditionalFormatting sqref="AZ29">
    <cfRule type="cellIs" dxfId="251" priority="76" operator="equal">
      <formula>1</formula>
    </cfRule>
    <cfRule type="cellIs" dxfId="250" priority="77" operator="equal">
      <formula>0</formula>
    </cfRule>
    <cfRule type="cellIs" dxfId="249" priority="78" operator="equal">
      <formula>" -   "</formula>
    </cfRule>
  </conditionalFormatting>
  <conditionalFormatting sqref="AZ36">
    <cfRule type="cellIs" dxfId="248" priority="73" operator="equal">
      <formula>1</formula>
    </cfRule>
    <cfRule type="cellIs" dxfId="247" priority="74" operator="equal">
      <formula>0</formula>
    </cfRule>
    <cfRule type="cellIs" dxfId="246" priority="75" operator="equal">
      <formula>" -   "</formula>
    </cfRule>
  </conditionalFormatting>
  <conditionalFormatting sqref="AX36">
    <cfRule type="cellIs" dxfId="245" priority="70" operator="equal">
      <formula>1</formula>
    </cfRule>
    <cfRule type="cellIs" dxfId="244" priority="71" operator="equal">
      <formula>0</formula>
    </cfRule>
    <cfRule type="cellIs" dxfId="243" priority="72" operator="equal">
      <formula>" -   "</formula>
    </cfRule>
  </conditionalFormatting>
  <conditionalFormatting sqref="AX29">
    <cfRule type="cellIs" dxfId="242" priority="67" operator="equal">
      <formula>1</formula>
    </cfRule>
    <cfRule type="cellIs" dxfId="241" priority="68" operator="equal">
      <formula>0</formula>
    </cfRule>
    <cfRule type="cellIs" dxfId="240" priority="69" operator="equal">
      <formula>" -   "</formula>
    </cfRule>
  </conditionalFormatting>
  <conditionalFormatting sqref="AX22">
    <cfRule type="cellIs" dxfId="239" priority="64" operator="equal">
      <formula>1</formula>
    </cfRule>
    <cfRule type="cellIs" dxfId="238" priority="65" operator="equal">
      <formula>0</formula>
    </cfRule>
    <cfRule type="cellIs" dxfId="237" priority="66" operator="equal">
      <formula>" -   "</formula>
    </cfRule>
  </conditionalFormatting>
  <conditionalFormatting sqref="AV22">
    <cfRule type="cellIs" dxfId="236" priority="61" operator="equal">
      <formula>1</formula>
    </cfRule>
    <cfRule type="cellIs" dxfId="235" priority="62" operator="equal">
      <formula>0</formula>
    </cfRule>
    <cfRule type="cellIs" dxfId="234" priority="63" operator="equal">
      <formula>" -   "</formula>
    </cfRule>
  </conditionalFormatting>
  <conditionalFormatting sqref="AV29">
    <cfRule type="cellIs" dxfId="233" priority="58" operator="equal">
      <formula>1</formula>
    </cfRule>
    <cfRule type="cellIs" dxfId="232" priority="59" operator="equal">
      <formula>0</formula>
    </cfRule>
    <cfRule type="cellIs" dxfId="231" priority="60" operator="equal">
      <formula>" -   "</formula>
    </cfRule>
  </conditionalFormatting>
  <conditionalFormatting sqref="AV36">
    <cfRule type="cellIs" dxfId="230" priority="55" operator="equal">
      <formula>1</formula>
    </cfRule>
    <cfRule type="cellIs" dxfId="229" priority="56" operator="equal">
      <formula>0</formula>
    </cfRule>
    <cfRule type="cellIs" dxfId="228" priority="57" operator="equal">
      <formula>" -   "</formula>
    </cfRule>
  </conditionalFormatting>
  <conditionalFormatting sqref="AT36">
    <cfRule type="cellIs" dxfId="227" priority="52" operator="equal">
      <formula>1</formula>
    </cfRule>
    <cfRule type="cellIs" dxfId="226" priority="53" operator="equal">
      <formula>0</formula>
    </cfRule>
    <cfRule type="cellIs" dxfId="225" priority="54" operator="equal">
      <formula>" -   "</formula>
    </cfRule>
  </conditionalFormatting>
  <conditionalFormatting sqref="AT29">
    <cfRule type="cellIs" dxfId="224" priority="49" operator="equal">
      <formula>1</formula>
    </cfRule>
    <cfRule type="cellIs" dxfId="223" priority="50" operator="equal">
      <formula>0</formula>
    </cfRule>
    <cfRule type="cellIs" dxfId="222" priority="51" operator="equal">
      <formula>" -   "</formula>
    </cfRule>
  </conditionalFormatting>
  <conditionalFormatting sqref="AR22">
    <cfRule type="cellIs" dxfId="221" priority="43" operator="equal">
      <formula>1</formula>
    </cfRule>
    <cfRule type="cellIs" dxfId="220" priority="44" operator="equal">
      <formula>0</formula>
    </cfRule>
    <cfRule type="cellIs" dxfId="219" priority="45" operator="equal">
      <formula>" -   "</formula>
    </cfRule>
  </conditionalFormatting>
  <conditionalFormatting sqref="AR36">
    <cfRule type="cellIs" dxfId="218" priority="37" operator="equal">
      <formula>1</formula>
    </cfRule>
    <cfRule type="cellIs" dxfId="217" priority="38" operator="equal">
      <formula>0</formula>
    </cfRule>
    <cfRule type="cellIs" dxfId="216" priority="39" operator="equal">
      <formula>" -   "</formula>
    </cfRule>
  </conditionalFormatting>
  <conditionalFormatting sqref="AP29">
    <cfRule type="cellIs" dxfId="215" priority="31" operator="equal">
      <formula>1</formula>
    </cfRule>
    <cfRule type="cellIs" dxfId="214" priority="32" operator="equal">
      <formula>0</formula>
    </cfRule>
    <cfRule type="cellIs" dxfId="213" priority="33" operator="equal">
      <formula>" -   "</formula>
    </cfRule>
  </conditionalFormatting>
  <conditionalFormatting sqref="AP22">
    <cfRule type="cellIs" dxfId="212" priority="28" operator="equal">
      <formula>1</formula>
    </cfRule>
    <cfRule type="cellIs" dxfId="211" priority="29" operator="equal">
      <formula>0</formula>
    </cfRule>
    <cfRule type="cellIs" dxfId="210" priority="30" operator="equal">
      <formula>" -   "</formula>
    </cfRule>
  </conditionalFormatting>
  <conditionalFormatting sqref="AN22">
    <cfRule type="cellIs" dxfId="209" priority="25" operator="equal">
      <formula>1</formula>
    </cfRule>
    <cfRule type="cellIs" dxfId="208" priority="26" operator="equal">
      <formula>0</formula>
    </cfRule>
    <cfRule type="cellIs" dxfId="207" priority="27" operator="equal">
      <formula>" -   "</formula>
    </cfRule>
  </conditionalFormatting>
  <conditionalFormatting sqref="AN29">
    <cfRule type="cellIs" dxfId="206" priority="22" operator="equal">
      <formula>1</formula>
    </cfRule>
    <cfRule type="cellIs" dxfId="205" priority="23" operator="equal">
      <formula>0</formula>
    </cfRule>
    <cfRule type="cellIs" dxfId="204" priority="24" operator="equal">
      <formula>" -   "</formula>
    </cfRule>
  </conditionalFormatting>
  <conditionalFormatting sqref="AN36">
    <cfRule type="cellIs" dxfId="203" priority="19" operator="equal">
      <formula>1</formula>
    </cfRule>
    <cfRule type="cellIs" dxfId="202" priority="20" operator="equal">
      <formula>0</formula>
    </cfRule>
    <cfRule type="cellIs" dxfId="201" priority="21" operator="equal">
      <formula>" -   "</formula>
    </cfRule>
  </conditionalFormatting>
  <conditionalFormatting sqref="AL36">
    <cfRule type="cellIs" dxfId="200" priority="16" operator="equal">
      <formula>1</formula>
    </cfRule>
    <cfRule type="cellIs" dxfId="199" priority="17" operator="equal">
      <formula>0</formula>
    </cfRule>
    <cfRule type="cellIs" dxfId="198" priority="18" operator="equal">
      <formula>" -   "</formula>
    </cfRule>
  </conditionalFormatting>
  <conditionalFormatting sqref="AL29">
    <cfRule type="cellIs" dxfId="197" priority="13" operator="equal">
      <formula>1</formula>
    </cfRule>
    <cfRule type="cellIs" dxfId="196" priority="14" operator="equal">
      <formula>0</formula>
    </cfRule>
    <cfRule type="cellIs" dxfId="195" priority="15" operator="equal">
      <formula>" -   "</formula>
    </cfRule>
  </conditionalFormatting>
  <conditionalFormatting sqref="AJ22">
    <cfRule type="cellIs" dxfId="194" priority="7" operator="equal">
      <formula>1</formula>
    </cfRule>
    <cfRule type="cellIs" dxfId="193" priority="8" operator="equal">
      <formula>0</formula>
    </cfRule>
    <cfRule type="cellIs" dxfId="192" priority="9" operator="equal">
      <formula>" -   "</formula>
    </cfRule>
  </conditionalFormatting>
  <printOptions horizontalCentered="1" headings="1"/>
  <pageMargins left="0.25" right="0.25" top="0.75" bottom="0.75" header="0.3" footer="0.3"/>
  <pageSetup paperSize="17" scale="75" fitToWidth="2" orientation="landscape" r:id="rId1"/>
  <headerFooter>
    <oddHeader>&amp;C&amp;"-,Bold"&amp;14&amp;F[&amp;A]</oddHeader>
    <oddFooter>&amp;L&amp;9Proceeding 790 – Loss Factor Rule Complaints – AESO Q2 2016 Update
&amp;Z&amp;F&amp;C&amp;9Page &amp;P of &amp;N
&amp;R&amp;9Public
July 15, 2016</oddFooter>
  </headerFooter>
  <colBreaks count="1" manualBreakCount="1">
    <brk id="33"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heetViews>
  <sheetFormatPr defaultColWidth="18.77734375" defaultRowHeight="14.4" x14ac:dyDescent="0.3"/>
  <sheetData>
    <row r="1" spans="1:4" s="2" customFormat="1" x14ac:dyDescent="0.3">
      <c r="A1" s="2" t="s">
        <v>91</v>
      </c>
    </row>
    <row r="2" spans="1:4" s="122" customFormat="1" ht="43.8" x14ac:dyDescent="0.3">
      <c r="A2" s="122" t="s">
        <v>92</v>
      </c>
      <c r="B2" s="122" t="s">
        <v>106</v>
      </c>
      <c r="C2" s="122" t="s">
        <v>99</v>
      </c>
      <c r="D2" s="122" t="s">
        <v>107</v>
      </c>
    </row>
    <row r="3" spans="1:4" x14ac:dyDescent="0.3">
      <c r="A3" t="s">
        <v>93</v>
      </c>
      <c r="B3" s="123">
        <f>'Modified by AESO'!T$25</f>
        <v>0</v>
      </c>
      <c r="C3" s="123">
        <f>'Modified by AESO'!M$25</f>
        <v>3.1875000000000001E-2</v>
      </c>
      <c r="D3" s="123">
        <f>'Modified by AESO'!F$25</f>
        <v>0.15</v>
      </c>
    </row>
    <row r="4" spans="1:4" x14ac:dyDescent="0.3">
      <c r="A4" t="s">
        <v>94</v>
      </c>
      <c r="B4" s="123">
        <f>'Modified by AESO'!U$25</f>
        <v>0</v>
      </c>
      <c r="C4" s="123">
        <f>'Modified by AESO'!N$25</f>
        <v>0</v>
      </c>
      <c r="D4" s="123">
        <f>'Modified by AESO'!G$25</f>
        <v>0.15749999999999997</v>
      </c>
    </row>
    <row r="5" spans="1:4" x14ac:dyDescent="0.3">
      <c r="A5" t="s">
        <v>95</v>
      </c>
      <c r="B5" s="123" t="str">
        <f>'Modified by AESO'!V$25</f>
        <v>NA</v>
      </c>
      <c r="C5" s="123">
        <f>'Modified by AESO'!O$25</f>
        <v>0.11999999999999997</v>
      </c>
      <c r="D5" s="123">
        <f>'Modified by AESO'!H$25</f>
        <v>0.14249999999999996</v>
      </c>
    </row>
    <row r="6" spans="1:4" x14ac:dyDescent="0.3">
      <c r="A6" t="s">
        <v>96</v>
      </c>
      <c r="B6" s="123">
        <f>'Modified by AESO'!W$25</f>
        <v>-7.4999999999999997E-2</v>
      </c>
      <c r="C6" s="123">
        <f>'Modified by AESO'!P$25</f>
        <v>-0.14250000000000007</v>
      </c>
      <c r="D6" s="123" t="str">
        <f>'Modified by AESO'!I$25</f>
        <v>NA</v>
      </c>
    </row>
    <row r="7" spans="1:4" x14ac:dyDescent="0.3">
      <c r="A7" t="s">
        <v>97</v>
      </c>
      <c r="B7" s="123" t="str">
        <f>'Modified by AESO'!X$25</f>
        <v>NA</v>
      </c>
      <c r="C7" s="123" t="str">
        <f>'Modified by AESO'!Q$25</f>
        <v>NA</v>
      </c>
      <c r="D7" s="123">
        <f>'Modified by AESO'!J$25</f>
        <v>0</v>
      </c>
    </row>
    <row r="8" spans="1:4" x14ac:dyDescent="0.3">
      <c r="A8" t="s">
        <v>98</v>
      </c>
      <c r="B8" s="123" t="str">
        <f>'Modified by AESO'!Y$25</f>
        <v>NA</v>
      </c>
      <c r="C8" s="123" t="str">
        <f>'Modified by AESO'!R$25</f>
        <v>NA</v>
      </c>
      <c r="D8" s="123">
        <f>'Modified by AESO'!K$25</f>
        <v>0</v>
      </c>
    </row>
    <row r="9" spans="1:4" x14ac:dyDescent="0.3">
      <c r="A9" t="s">
        <v>100</v>
      </c>
    </row>
    <row r="11" spans="1:4" s="2" customFormat="1" x14ac:dyDescent="0.3">
      <c r="A11" s="2" t="s">
        <v>101</v>
      </c>
    </row>
    <row r="12" spans="1:4" s="11" customFormat="1" ht="43.2" x14ac:dyDescent="0.3">
      <c r="A12" s="122" t="s">
        <v>102</v>
      </c>
      <c r="B12" s="122" t="s">
        <v>103</v>
      </c>
      <c r="C12" s="122" t="s">
        <v>104</v>
      </c>
      <c r="D12" s="122" t="s">
        <v>105</v>
      </c>
    </row>
    <row r="13" spans="1:4" x14ac:dyDescent="0.3">
      <c r="A13" t="s">
        <v>108</v>
      </c>
      <c r="B13" s="126">
        <f>IF('Modified by AESO'!$AI$19="NA","NA",ABS('Modified by AESO'!$AI$19))</f>
        <v>1.8375000000000002E-2</v>
      </c>
      <c r="C13" s="126">
        <f>IF('Modified by AESO'!$AI$36="NA","NA",ABS('Modified by AESO'!$AI$36))</f>
        <v>2.8282258064516119E-2</v>
      </c>
      <c r="D13" s="126">
        <f>IF('Modified by AESO'!$AI$29="NA","NA",ABS('Modified by AESO'!$AI$29))</f>
        <v>2.4249413489736069E-2</v>
      </c>
    </row>
    <row r="14" spans="1:4" x14ac:dyDescent="0.3">
      <c r="A14" t="s">
        <v>109</v>
      </c>
      <c r="B14" s="126">
        <f>IF('Modified by AESO'!$AK$19="NA","NA",ABS('Modified by AESO'!$AK$19))</f>
        <v>7.4464285714285677E-2</v>
      </c>
      <c r="C14" s="126">
        <f>IF('Modified by AESO'!$AK$36="NA","NA",ABS('Modified by AESO'!$AK$36))</f>
        <v>8.258538899430734E-2</v>
      </c>
      <c r="D14" s="126">
        <f>IF('Modified by AESO'!$AK$29="NA","NA",ABS('Modified by AESO'!$AK$29))</f>
        <v>6.6800586510263896E-2</v>
      </c>
    </row>
    <row r="15" spans="1:4" x14ac:dyDescent="0.3">
      <c r="A15" t="s">
        <v>110</v>
      </c>
      <c r="B15" s="126">
        <f>IF('Modified by AESO'!$AM$19="NA","NA",ABS('Modified by AESO'!$AM$19))</f>
        <v>0.14125000000000004</v>
      </c>
      <c r="C15" s="126">
        <f>IF('Modified by AESO'!$AM$36="NA","NA",ABS('Modified by AESO'!$AM$36))</f>
        <v>0.15278225806451615</v>
      </c>
      <c r="D15" s="126">
        <f>IF('Modified by AESO'!$AM$29="NA","NA",ABS('Modified by AESO'!$AM$29))</f>
        <v>0.13823350439882701</v>
      </c>
    </row>
    <row r="16" spans="1:4" x14ac:dyDescent="0.3">
      <c r="A16" t="s">
        <v>111</v>
      </c>
      <c r="B16" s="126">
        <f>IF('Modified by AESO'!$AO$19="NA","NA",ABS('Modified by AESO'!$AO$19))</f>
        <v>0.15</v>
      </c>
      <c r="C16" s="126">
        <f>IF('Modified by AESO'!$AO$36="NA","NA",ABS('Modified by AESO'!$AO$36))</f>
        <v>4.4032258064516119E-2</v>
      </c>
      <c r="D16" s="126">
        <f>IF('Modified by AESO'!$AO$29="NA","NA",ABS('Modified by AESO'!$AO$29))</f>
        <v>0.12451759530791787</v>
      </c>
    </row>
    <row r="17" spans="1:4" x14ac:dyDescent="0.3">
      <c r="A17" t="s">
        <v>112</v>
      </c>
      <c r="B17" s="126">
        <f>IF('Modified by AESO'!$AQ$19="NA","NA",ABS('Modified by AESO'!$AQ$19))</f>
        <v>0.15</v>
      </c>
      <c r="C17" s="126">
        <f>IF('Modified by AESO'!$AQ$36="NA","NA",ABS('Modified by AESO'!$AQ$36))</f>
        <v>4.4032258064516119E-2</v>
      </c>
      <c r="D17" s="126">
        <f>IF('Modified by AESO'!$AQ$29="NA","NA",ABS('Modified by AESO'!$AQ$29))</f>
        <v>0.12451759530791787</v>
      </c>
    </row>
    <row r="18" spans="1:4" x14ac:dyDescent="0.3">
      <c r="A18" t="s">
        <v>113</v>
      </c>
      <c r="B18" s="126">
        <f>IF('Modified by AESO'!$AS$19="NA","NA",ABS('Modified by AESO'!$AS$19))</f>
        <v>0.1007142857142857</v>
      </c>
      <c r="C18" s="126">
        <f>IF('Modified by AESO'!$AS$36="NA","NA",ABS('Modified by AESO'!$AS$36))</f>
        <v>0.11086764705882346</v>
      </c>
      <c r="D18" s="126">
        <f>IF('Modified by AESO'!$AS$29="NA","NA",ABS('Modified by AESO'!$AS$29))</f>
        <v>9.1049999999999964E-2</v>
      </c>
    </row>
    <row r="19" spans="1:4" x14ac:dyDescent="0.3">
      <c r="A19" t="s">
        <v>114</v>
      </c>
      <c r="B19" s="126">
        <f>IF('Modified by AESO'!$AU$19="NA","NA",ABS('Modified by AESO'!$AU$19))</f>
        <v>0.12000000000000005</v>
      </c>
      <c r="C19" s="126">
        <f>IF('Modified by AESO'!$AU$36="NA","NA",ABS('Modified by AESO'!$AU$36))</f>
        <v>0.12450000000000003</v>
      </c>
      <c r="D19" s="126">
        <f>IF('Modified by AESO'!$AU$29="NA","NA",ABS('Modified by AESO'!$AU$29))</f>
        <v>0.11398409090909094</v>
      </c>
    </row>
    <row r="20" spans="1:4" x14ac:dyDescent="0.3">
      <c r="A20" t="s">
        <v>115</v>
      </c>
      <c r="B20" s="126">
        <f>IF('Modified by AESO'!$AW$19="NA","NA",ABS('Modified by AESO'!$AW$19))</f>
        <v>0.15749999999999997</v>
      </c>
      <c r="C20" s="126">
        <f>IF('Modified by AESO'!$AW$36="NA","NA",ABS('Modified by AESO'!$AW$36))</f>
        <v>1.575E-2</v>
      </c>
      <c r="D20" s="126">
        <f>IF('Modified by AESO'!$AW$29="NA","NA",ABS('Modified by AESO'!$AW$29))</f>
        <v>0.10026818181818181</v>
      </c>
    </row>
    <row r="21" spans="1:4" x14ac:dyDescent="0.3">
      <c r="A21" t="s">
        <v>116</v>
      </c>
      <c r="B21" s="126">
        <f>IF('Modified by AESO'!$AY$19="NA","NA",ABS('Modified by AESO'!$AY$19))</f>
        <v>0.15749999999999997</v>
      </c>
      <c r="C21" s="126">
        <f>IF('Modified by AESO'!$AY$36="NA","NA",ABS('Modified by AESO'!$AY$36))</f>
        <v>1.575E-2</v>
      </c>
      <c r="D21" s="126">
        <f>IF('Modified by AESO'!$AY$29="NA","NA",ABS('Modified by AESO'!$AY$29))</f>
        <v>0.10026818181818181</v>
      </c>
    </row>
    <row r="22" spans="1:4" x14ac:dyDescent="0.3">
      <c r="A22" t="s">
        <v>117</v>
      </c>
      <c r="B22" s="126">
        <f>IF('Modified by AESO'!$BA$19="NA","NA",ABS('Modified by AESO'!$BA$19))</f>
        <v>0.26250000000000007</v>
      </c>
      <c r="C22" s="126">
        <f>IF('Modified by AESO'!$BA$36="NA","NA",ABS('Modified by AESO'!$BA$36))</f>
        <v>0.23536764705882349</v>
      </c>
      <c r="D22" s="126">
        <f>IF('Modified by AESO'!$BA$29="NA","NA",ABS('Modified by AESO'!$BA$29))</f>
        <v>0.20503409090909092</v>
      </c>
    </row>
    <row r="23" spans="1:4" x14ac:dyDescent="0.3">
      <c r="A23" t="s">
        <v>118</v>
      </c>
      <c r="B23" s="126">
        <f>IF('Modified by AESO'!$BC$19="NA","NA",ABS('Modified by AESO'!$BC$19))</f>
        <v>0.14249999999999996</v>
      </c>
      <c r="C23" s="126">
        <f>IF('Modified by AESO'!$BC$36="NA","NA",ABS('Modified by AESO'!$BC$36))</f>
        <v>0.12661764705882345</v>
      </c>
      <c r="D23" s="126">
        <f>IF('Modified by AESO'!$BC$29="NA","NA",ABS('Modified by AESO'!$BC$29))</f>
        <v>0.19131818181818178</v>
      </c>
    </row>
    <row r="24" spans="1:4" x14ac:dyDescent="0.3">
      <c r="A24" t="s">
        <v>119</v>
      </c>
      <c r="B24" s="126">
        <f>IF('Modified by AESO'!$BE$19="NA","NA",ABS('Modified by AESO'!$BE$19))</f>
        <v>0.14249999999999996</v>
      </c>
      <c r="C24" s="126">
        <f>IF('Modified by AESO'!$BE$36="NA","NA",ABS('Modified by AESO'!$BE$36))</f>
        <v>0.12661764705882345</v>
      </c>
      <c r="D24" s="126">
        <f>IF('Modified by AESO'!$BE$29="NA","NA",ABS('Modified by AESO'!$BE$29))</f>
        <v>0.19131818181818178</v>
      </c>
    </row>
    <row r="25" spans="1:4" x14ac:dyDescent="0.3">
      <c r="A25" t="s">
        <v>120</v>
      </c>
      <c r="B25" s="126" t="str">
        <f>IF('Modified by AESO'!$BG$19="NA","NA",ABS('Modified by AESO'!$BG$19))</f>
        <v>NA</v>
      </c>
      <c r="C25" s="126">
        <f>IF('Modified by AESO'!$BG$36="NA","NA",ABS('Modified by AESO'!$BG$36))</f>
        <v>0.10875000000000003</v>
      </c>
      <c r="D25" s="126">
        <f>IF('Modified by AESO'!$BG$29="NA","NA",ABS('Modified by AESO'!$BG$29))</f>
        <v>1.3715909090909133E-2</v>
      </c>
    </row>
    <row r="26" spans="1:4" x14ac:dyDescent="0.3">
      <c r="A26" t="s">
        <v>121</v>
      </c>
      <c r="B26" s="126" t="str">
        <f>IF('Modified by AESO'!$BI$19="NA","NA",ABS('Modified by AESO'!$BI$19))</f>
        <v>NA</v>
      </c>
      <c r="C26" s="126">
        <f>IF('Modified by AESO'!$BI$36="NA","NA",ABS('Modified by AESO'!$BI$36))</f>
        <v>0.10875000000000003</v>
      </c>
      <c r="D26" s="126">
        <f>IF('Modified by AESO'!$BI$29="NA","NA",ABS('Modified by AESO'!$BI$29))</f>
        <v>1.3715909090909133E-2</v>
      </c>
    </row>
    <row r="27" spans="1:4" x14ac:dyDescent="0.3">
      <c r="A27" t="s">
        <v>122</v>
      </c>
      <c r="B27" s="126">
        <f>IF('Modified by AESO'!$BK$19="NA","NA",ABS('Modified by AESO'!$BK$19))</f>
        <v>0</v>
      </c>
      <c r="C27" s="126">
        <f>IF('Modified by AESO'!$BK$36="NA","NA",ABS('Modified by AESO'!$BK$36))</f>
        <v>0</v>
      </c>
      <c r="D27" s="126">
        <f>IF('Modified by AESO'!$BK$29="NA","NA",ABS('Modified by AESO'!$BK$29))</f>
        <v>0</v>
      </c>
    </row>
    <row r="28" spans="1:4" x14ac:dyDescent="0.3">
      <c r="A28" s="130" t="s">
        <v>123</v>
      </c>
      <c r="B28" s="131">
        <f>AVERAGE(B13:B27)</f>
        <v>0.12440796703296705</v>
      </c>
      <c r="C28" s="131">
        <f>AVERAGE(C13:C27)</f>
        <v>8.8312333965844411E-2</v>
      </c>
      <c r="D28" s="131">
        <f>AVERAGE(D13:D27)</f>
        <v>9.9932761485825999E-2</v>
      </c>
    </row>
    <row r="29" spans="1:4" x14ac:dyDescent="0.3">
      <c r="A29" s="28" t="s">
        <v>131</v>
      </c>
      <c r="B29" s="124">
        <f>AVERAGEIF($B13:$B27,"&gt;=0",B13:B27)</f>
        <v>0.12440796703296705</v>
      </c>
      <c r="C29" s="124">
        <f>AVERAGEIF($B13:$B27,"&gt;=0",C13:C27)</f>
        <v>8.516807765289737E-2</v>
      </c>
      <c r="D29" s="124">
        <f>AVERAGEIF($B13:$B27,"&gt;=0",D13:D27)</f>
        <v>0.1131968926235055</v>
      </c>
    </row>
  </sheetData>
  <pageMargins left="0.7" right="0.7" top="0.75" bottom="0.75" header="0.3" footer="0.3"/>
  <pageSetup orientation="portrait" r:id="rId1"/>
  <headerFooter>
    <oddHeader>&amp;C&amp;"-,Bold"&amp;14&amp;F[&amp;A]</oddHeader>
    <oddFooter>&amp;L&amp;9Proceeding 790 – Loss Factor Rule Complaints – AESO Q2 2016 Update
&amp;Z&amp;F&amp;C&amp;9Page &amp;P of &amp;N
&amp;R&amp;9Public
July 15,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5"/>
  <sheetViews>
    <sheetView showGridLines="0" zoomScale="110" zoomScaleNormal="110" workbookViewId="0">
      <pane xSplit="4" ySplit="3" topLeftCell="E4" activePane="bottomRight" state="frozen"/>
      <selection pane="topRight" activeCell="E1" sqref="E1"/>
      <selection pane="bottomLeft" activeCell="A4" sqref="A4"/>
      <selection pane="bottomRight" activeCell="E4" sqref="E4"/>
    </sheetView>
  </sheetViews>
  <sheetFormatPr defaultRowHeight="14.4" x14ac:dyDescent="0.3"/>
  <cols>
    <col min="1" max="1" width="2.44140625" customWidth="1"/>
    <col min="2" max="2" width="3.6640625" bestFit="1" customWidth="1"/>
    <col min="3" max="3" width="55.5546875" bestFit="1" customWidth="1"/>
    <col min="4" max="4" width="5.6640625" style="11" bestFit="1" customWidth="1"/>
    <col min="5" max="5" width="7" bestFit="1" customWidth="1"/>
    <col min="6" max="8" width="6.109375" bestFit="1" customWidth="1"/>
    <col min="9" max="9" width="6.88671875" bestFit="1" customWidth="1"/>
    <col min="10" max="11" width="6.109375" customWidth="1"/>
    <col min="12" max="12" width="7" bestFit="1" customWidth="1"/>
    <col min="13" max="13" width="6.109375" bestFit="1" customWidth="1"/>
    <col min="14" max="14" width="6.88671875" bestFit="1" customWidth="1"/>
    <col min="15" max="15" width="6.109375" bestFit="1" customWidth="1"/>
    <col min="16" max="18" width="6.88671875" bestFit="1" customWidth="1"/>
    <col min="19" max="19" width="7" bestFit="1" customWidth="1"/>
    <col min="20" max="22" width="6.109375" bestFit="1" customWidth="1"/>
    <col min="23" max="25" width="6.109375" customWidth="1"/>
    <col min="26" max="26" width="2.44140625" customWidth="1"/>
    <col min="27" max="27" width="9" bestFit="1" customWidth="1"/>
    <col min="28" max="30" width="8" bestFit="1" customWidth="1"/>
    <col min="31" max="31" width="8" customWidth="1"/>
    <col min="32" max="33" width="7" bestFit="1" customWidth="1"/>
    <col min="34" max="34" width="2.44140625" customWidth="1"/>
    <col min="35" max="35" width="6.109375" bestFit="1" customWidth="1"/>
    <col min="36" max="36" width="10.6640625" bestFit="1" customWidth="1"/>
    <col min="37" max="37" width="6.88671875" bestFit="1" customWidth="1"/>
    <col min="38" max="38" width="10.6640625" bestFit="1" customWidth="1"/>
    <col min="39" max="39" width="7.109375" bestFit="1" customWidth="1"/>
    <col min="40" max="40" width="10.6640625" bestFit="1" customWidth="1"/>
    <col min="41" max="41" width="7.109375" bestFit="1" customWidth="1"/>
    <col min="42" max="42" width="10.6640625" bestFit="1" customWidth="1"/>
    <col min="43" max="43" width="7.109375" bestFit="1" customWidth="1"/>
    <col min="44" max="44" width="10.6640625" bestFit="1" customWidth="1"/>
    <col min="45" max="45" width="7.88671875" bestFit="1" customWidth="1"/>
    <col min="46" max="46" width="10.6640625" bestFit="1" customWidth="1"/>
    <col min="47" max="47" width="7.109375" bestFit="1" customWidth="1"/>
    <col min="48" max="48" width="10.6640625" bestFit="1" customWidth="1"/>
    <col min="49" max="49" width="7.109375" bestFit="1" customWidth="1"/>
    <col min="50" max="50" width="10.6640625" bestFit="1" customWidth="1"/>
    <col min="51" max="51" width="7.109375" bestFit="1" customWidth="1"/>
    <col min="52" max="52" width="10.6640625" bestFit="1" customWidth="1"/>
    <col min="53" max="53" width="7.109375" bestFit="1" customWidth="1"/>
    <col min="54" max="54" width="10.6640625" bestFit="1" customWidth="1"/>
    <col min="55" max="55" width="7.109375" bestFit="1" customWidth="1"/>
    <col min="56" max="56" width="10.6640625" bestFit="1" customWidth="1"/>
    <col min="57" max="57" width="7.109375" bestFit="1" customWidth="1"/>
    <col min="58" max="58" width="10.6640625" bestFit="1" customWidth="1"/>
    <col min="59" max="59" width="7.88671875" bestFit="1" customWidth="1"/>
    <col min="60" max="60" width="10.6640625" bestFit="1" customWidth="1"/>
    <col min="61" max="61" width="7.88671875" bestFit="1" customWidth="1"/>
    <col min="62" max="62" width="10.6640625" bestFit="1" customWidth="1"/>
    <col min="63" max="63" width="6.109375" bestFit="1" customWidth="1"/>
    <col min="64" max="64" width="10.6640625" bestFit="1" customWidth="1"/>
    <col min="65" max="65" width="2.5546875" customWidth="1"/>
  </cols>
  <sheetData>
    <row r="1" spans="1:65" x14ac:dyDescent="0.3">
      <c r="Z1" s="10"/>
      <c r="AH1" s="10"/>
    </row>
    <row r="2" spans="1:65" ht="14.4" customHeight="1" x14ac:dyDescent="0.35">
      <c r="A2" s="2"/>
      <c r="E2" s="73" t="s">
        <v>20</v>
      </c>
      <c r="F2" s="73"/>
      <c r="G2" s="73"/>
      <c r="H2" s="73"/>
      <c r="I2" s="73"/>
      <c r="J2" s="73"/>
      <c r="K2" s="73"/>
      <c r="L2" s="73" t="s">
        <v>21</v>
      </c>
      <c r="M2" s="73"/>
      <c r="N2" s="73"/>
      <c r="O2" s="73"/>
      <c r="P2" s="73"/>
      <c r="Q2" s="73"/>
      <c r="R2" s="73"/>
      <c r="S2" s="73" t="s">
        <v>22</v>
      </c>
      <c r="T2" s="73"/>
      <c r="U2" s="73"/>
      <c r="V2" s="73"/>
      <c r="W2" s="73"/>
      <c r="X2" s="73"/>
      <c r="Y2" s="73"/>
      <c r="Z2" s="32"/>
      <c r="AA2" s="77" t="s">
        <v>2</v>
      </c>
      <c r="AB2" s="77"/>
      <c r="AC2" s="77"/>
      <c r="AD2" s="77"/>
      <c r="AE2" s="77"/>
      <c r="AF2" s="77"/>
      <c r="AG2" s="77"/>
      <c r="AH2" s="32"/>
      <c r="AI2" s="78" t="s">
        <v>9</v>
      </c>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2"/>
    </row>
    <row r="3" spans="1:65" x14ac:dyDescent="0.3">
      <c r="E3" s="23" t="s">
        <v>16</v>
      </c>
      <c r="F3" s="23" t="s">
        <v>4</v>
      </c>
      <c r="G3" s="23" t="s">
        <v>0</v>
      </c>
      <c r="H3" s="23" t="s">
        <v>5</v>
      </c>
      <c r="I3" s="23" t="s">
        <v>18</v>
      </c>
      <c r="J3" s="23" t="s">
        <v>19</v>
      </c>
      <c r="K3" s="23" t="s">
        <v>28</v>
      </c>
      <c r="L3" s="23" t="s">
        <v>1</v>
      </c>
      <c r="M3" s="23" t="s">
        <v>4</v>
      </c>
      <c r="N3" s="23" t="s">
        <v>0</v>
      </c>
      <c r="O3" s="23" t="s">
        <v>5</v>
      </c>
      <c r="P3" s="23" t="s">
        <v>18</v>
      </c>
      <c r="Q3" s="23" t="s">
        <v>19</v>
      </c>
      <c r="R3" s="23" t="s">
        <v>28</v>
      </c>
      <c r="S3" s="23" t="s">
        <v>16</v>
      </c>
      <c r="T3" s="23" t="s">
        <v>4</v>
      </c>
      <c r="U3" s="23" t="s">
        <v>0</v>
      </c>
      <c r="V3" s="23" t="s">
        <v>5</v>
      </c>
      <c r="W3" s="23" t="s">
        <v>18</v>
      </c>
      <c r="X3" s="23" t="s">
        <v>19</v>
      </c>
      <c r="Y3" s="23" t="s">
        <v>28</v>
      </c>
      <c r="Z3" s="10"/>
      <c r="AA3" s="29" t="s">
        <v>16</v>
      </c>
      <c r="AB3" s="29" t="s">
        <v>4</v>
      </c>
      <c r="AC3" s="29" t="s">
        <v>0</v>
      </c>
      <c r="AD3" s="29" t="s">
        <v>5</v>
      </c>
      <c r="AE3" s="29" t="s">
        <v>18</v>
      </c>
      <c r="AF3" s="29" t="s">
        <v>19</v>
      </c>
      <c r="AG3" s="29" t="s">
        <v>28</v>
      </c>
      <c r="AH3" s="10"/>
      <c r="AI3" s="33" t="s">
        <v>6</v>
      </c>
      <c r="AJ3" s="34" t="s">
        <v>70</v>
      </c>
      <c r="AK3" s="33" t="s">
        <v>7</v>
      </c>
      <c r="AL3" s="34" t="s">
        <v>70</v>
      </c>
      <c r="AM3" s="33" t="s">
        <v>29</v>
      </c>
      <c r="AN3" s="34" t="s">
        <v>70</v>
      </c>
      <c r="AO3" s="33" t="s">
        <v>30</v>
      </c>
      <c r="AP3" s="34" t="s">
        <v>70</v>
      </c>
      <c r="AQ3" s="33" t="s">
        <v>31</v>
      </c>
      <c r="AR3" s="34" t="s">
        <v>70</v>
      </c>
      <c r="AS3" s="33" t="s">
        <v>8</v>
      </c>
      <c r="AT3" s="34" t="s">
        <v>70</v>
      </c>
      <c r="AU3" s="33" t="s">
        <v>32</v>
      </c>
      <c r="AV3" s="34" t="s">
        <v>70</v>
      </c>
      <c r="AW3" s="33" t="s">
        <v>33</v>
      </c>
      <c r="AX3" s="34" t="s">
        <v>70</v>
      </c>
      <c r="AY3" s="33" t="s">
        <v>34</v>
      </c>
      <c r="AZ3" s="34" t="s">
        <v>70</v>
      </c>
      <c r="BA3" s="33" t="s">
        <v>36</v>
      </c>
      <c r="BB3" s="34" t="s">
        <v>70</v>
      </c>
      <c r="BC3" s="33" t="s">
        <v>35</v>
      </c>
      <c r="BD3" s="34" t="s">
        <v>70</v>
      </c>
      <c r="BE3" s="33" t="s">
        <v>37</v>
      </c>
      <c r="BF3" s="34" t="s">
        <v>70</v>
      </c>
      <c r="BG3" s="33" t="s">
        <v>38</v>
      </c>
      <c r="BH3" s="34" t="s">
        <v>70</v>
      </c>
      <c r="BI3" s="33" t="s">
        <v>39</v>
      </c>
      <c r="BJ3" s="34" t="s">
        <v>70</v>
      </c>
      <c r="BK3" s="33" t="s">
        <v>40</v>
      </c>
      <c r="BL3" s="34" t="s">
        <v>70</v>
      </c>
      <c r="BM3" s="11"/>
    </row>
    <row r="4" spans="1:65" x14ac:dyDescent="0.3">
      <c r="C4" t="s">
        <v>47</v>
      </c>
      <c r="D4" s="11" t="s">
        <v>43</v>
      </c>
      <c r="E4" s="41">
        <v>50</v>
      </c>
      <c r="F4" s="3"/>
      <c r="G4" s="3"/>
      <c r="H4" s="3"/>
      <c r="I4" s="3"/>
      <c r="J4" s="76">
        <v>1</v>
      </c>
      <c r="K4" s="76">
        <v>2</v>
      </c>
      <c r="L4" s="41">
        <v>300</v>
      </c>
      <c r="M4" s="3"/>
      <c r="N4" s="3"/>
      <c r="O4" s="76">
        <v>1</v>
      </c>
      <c r="P4" s="3"/>
      <c r="Q4" s="76">
        <v>2</v>
      </c>
      <c r="R4" s="76">
        <v>3</v>
      </c>
      <c r="S4" s="41">
        <v>150</v>
      </c>
      <c r="T4" s="76">
        <v>1</v>
      </c>
      <c r="U4" s="3"/>
      <c r="V4" s="76">
        <v>2</v>
      </c>
      <c r="W4" s="3"/>
      <c r="X4" s="76">
        <v>3</v>
      </c>
      <c r="Y4" s="76">
        <v>4</v>
      </c>
      <c r="Z4" s="10"/>
      <c r="AA4" s="19"/>
      <c r="AB4" s="19"/>
      <c r="AC4" s="19"/>
      <c r="AD4" s="19"/>
      <c r="AE4" s="19"/>
      <c r="AF4" s="19"/>
      <c r="AG4" s="19"/>
      <c r="AH4" s="10"/>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row>
    <row r="5" spans="1:65" x14ac:dyDescent="0.3">
      <c r="A5" s="18"/>
      <c r="B5" s="18"/>
      <c r="C5" t="s">
        <v>48</v>
      </c>
      <c r="D5" s="11" t="s">
        <v>44</v>
      </c>
      <c r="E5" s="20">
        <f>SUM(F5:K5)</f>
        <v>330</v>
      </c>
      <c r="F5" s="109">
        <v>100</v>
      </c>
      <c r="G5" s="109">
        <v>75</v>
      </c>
      <c r="H5" s="109">
        <v>125</v>
      </c>
      <c r="I5" s="109">
        <v>0</v>
      </c>
      <c r="J5" s="109">
        <v>25</v>
      </c>
      <c r="K5" s="109">
        <v>5</v>
      </c>
      <c r="L5" s="20">
        <f>SUM(M5:R5)</f>
        <v>250</v>
      </c>
      <c r="M5" s="109">
        <v>100</v>
      </c>
      <c r="N5" s="109">
        <v>75</v>
      </c>
      <c r="O5" s="109">
        <v>50</v>
      </c>
      <c r="P5" s="109">
        <v>25</v>
      </c>
      <c r="Q5" s="109">
        <v>0</v>
      </c>
      <c r="R5" s="109">
        <v>0</v>
      </c>
      <c r="S5" s="20">
        <f>SUM(T5:Y5)</f>
        <v>150</v>
      </c>
      <c r="T5" s="109">
        <v>25</v>
      </c>
      <c r="U5" s="109">
        <v>75</v>
      </c>
      <c r="V5" s="109">
        <v>0</v>
      </c>
      <c r="W5" s="109">
        <v>50</v>
      </c>
      <c r="X5" s="109">
        <v>0</v>
      </c>
      <c r="Y5" s="109">
        <v>0</v>
      </c>
      <c r="Z5" s="25"/>
      <c r="AA5" s="19"/>
      <c r="AB5" s="19"/>
      <c r="AC5" s="19"/>
      <c r="AD5" s="19"/>
      <c r="AE5" s="19"/>
      <c r="AF5" s="19"/>
      <c r="AG5" s="19"/>
      <c r="AH5" s="25"/>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18"/>
    </row>
    <row r="6" spans="1:65" x14ac:dyDescent="0.3">
      <c r="A6" s="18"/>
      <c r="B6" s="18"/>
      <c r="C6" t="s">
        <v>49</v>
      </c>
      <c r="D6" s="11" t="s">
        <v>44</v>
      </c>
      <c r="E6" s="20">
        <f>SUM(F5:H5)</f>
        <v>300</v>
      </c>
      <c r="F6" s="20"/>
      <c r="G6" s="20"/>
      <c r="H6" s="20"/>
      <c r="I6" s="20"/>
      <c r="J6" s="20"/>
      <c r="K6" s="20"/>
      <c r="L6" s="20">
        <f>SUM(M5:O5)</f>
        <v>225</v>
      </c>
      <c r="M6" s="20"/>
      <c r="N6" s="20"/>
      <c r="O6" s="20"/>
      <c r="P6" s="20"/>
      <c r="Q6" s="20"/>
      <c r="R6" s="20"/>
      <c r="S6" s="20">
        <f>SUM(T5:V5)</f>
        <v>100</v>
      </c>
      <c r="T6" s="20"/>
      <c r="U6" s="20"/>
      <c r="V6" s="20"/>
      <c r="W6" s="20"/>
      <c r="X6" s="20"/>
      <c r="Y6" s="20"/>
      <c r="Z6" s="25"/>
      <c r="AA6" s="19"/>
      <c r="AB6" s="19"/>
      <c r="AC6" s="19"/>
      <c r="AD6" s="19"/>
      <c r="AE6" s="19"/>
      <c r="AF6" s="19"/>
      <c r="AG6" s="19"/>
      <c r="AH6" s="25"/>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18"/>
    </row>
    <row r="7" spans="1:65" x14ac:dyDescent="0.3">
      <c r="A7" s="1"/>
      <c r="B7" s="1"/>
      <c r="C7" t="s">
        <v>51</v>
      </c>
      <c r="D7" s="11" t="s">
        <v>44</v>
      </c>
      <c r="E7" s="108">
        <f>E6^2*$J$46</f>
        <v>26.999999999999996</v>
      </c>
      <c r="F7" s="4"/>
      <c r="G7" s="4"/>
      <c r="H7" s="4"/>
      <c r="I7" s="4"/>
      <c r="J7" s="4"/>
      <c r="K7" s="4"/>
      <c r="L7" s="108">
        <f>L6^2*$J$46</f>
        <v>15.187499999999998</v>
      </c>
      <c r="M7" s="4"/>
      <c r="N7" s="4"/>
      <c r="O7" s="4"/>
      <c r="P7" s="4"/>
      <c r="Q7" s="4"/>
      <c r="R7" s="4"/>
      <c r="S7" s="108">
        <f>S6^2*$J$46</f>
        <v>2.9999999999999996</v>
      </c>
      <c r="T7" s="4"/>
      <c r="U7" s="4"/>
      <c r="V7" s="4"/>
      <c r="W7" s="4"/>
      <c r="X7" s="4"/>
      <c r="Y7" s="4"/>
      <c r="Z7" s="26"/>
      <c r="AA7" s="13"/>
      <c r="AB7" s="13"/>
      <c r="AC7" s="13"/>
      <c r="AD7" s="13"/>
      <c r="AE7" s="13"/>
      <c r="AF7" s="13"/>
      <c r="AG7" s="13"/>
      <c r="AH7" s="26"/>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1"/>
    </row>
    <row r="8" spans="1:65" s="94" customFormat="1" x14ac:dyDescent="0.3">
      <c r="A8" s="101"/>
      <c r="B8" s="101"/>
      <c r="C8" s="94" t="s">
        <v>42</v>
      </c>
      <c r="D8" s="102" t="s">
        <v>44</v>
      </c>
      <c r="E8" s="116">
        <f>E5-E7</f>
        <v>303</v>
      </c>
      <c r="F8" s="103"/>
      <c r="G8" s="103"/>
      <c r="H8" s="103"/>
      <c r="I8" s="103"/>
      <c r="J8" s="103"/>
      <c r="K8" s="103"/>
      <c r="L8" s="116">
        <f>L5-L7</f>
        <v>234.8125</v>
      </c>
      <c r="M8" s="103"/>
      <c r="N8" s="103"/>
      <c r="O8" s="103"/>
      <c r="P8" s="103"/>
      <c r="Q8" s="103"/>
      <c r="R8" s="103"/>
      <c r="S8" s="116">
        <f>S5-S7</f>
        <v>147</v>
      </c>
      <c r="T8" s="103"/>
      <c r="U8" s="103"/>
      <c r="V8" s="103"/>
      <c r="W8" s="103"/>
      <c r="X8" s="103"/>
      <c r="Y8" s="103"/>
      <c r="Z8" s="104"/>
      <c r="AA8" s="105"/>
      <c r="AB8" s="105"/>
      <c r="AC8" s="105"/>
      <c r="AD8" s="105"/>
      <c r="AE8" s="105"/>
      <c r="AF8" s="105"/>
      <c r="AG8" s="105"/>
      <c r="AH8" s="104"/>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1"/>
    </row>
    <row r="9" spans="1:65" x14ac:dyDescent="0.3">
      <c r="A9" s="18"/>
      <c r="B9" s="18"/>
      <c r="C9" t="s">
        <v>50</v>
      </c>
      <c r="D9" s="11" t="s">
        <v>44</v>
      </c>
      <c r="E9" s="20"/>
      <c r="F9" s="110">
        <f>G5+H5</f>
        <v>200</v>
      </c>
      <c r="G9" s="110">
        <f>F5+H5</f>
        <v>225</v>
      </c>
      <c r="H9" s="110">
        <f>F5+G5</f>
        <v>175</v>
      </c>
      <c r="I9" s="110">
        <f>F5+G5+H5</f>
        <v>300</v>
      </c>
      <c r="J9" s="110">
        <f>F5+G5+H5</f>
        <v>300</v>
      </c>
      <c r="K9" s="111">
        <f>F5+G5+H5</f>
        <v>300</v>
      </c>
      <c r="L9" s="20"/>
      <c r="M9" s="110">
        <f>N5+MIN(M5+O5,$K$39)</f>
        <v>200</v>
      </c>
      <c r="N9" s="110">
        <f>M5+MIN(O5+N5,$K$39)</f>
        <v>225</v>
      </c>
      <c r="O9" s="110">
        <f>M5+N5</f>
        <v>175</v>
      </c>
      <c r="P9" s="110">
        <f>M5+N5+MIN(O5+P5,$K$39)</f>
        <v>250</v>
      </c>
      <c r="Q9" s="111">
        <f>M5+N5+MIN(O5+Q5,$K$39)</f>
        <v>225</v>
      </c>
      <c r="R9" s="111">
        <f>M5+N5+MIN(O5+R5,$K$39)</f>
        <v>225</v>
      </c>
      <c r="S9" s="20"/>
      <c r="T9" s="110">
        <f>U5+MIN(V5+T5,$K$39)</f>
        <v>100</v>
      </c>
      <c r="U9" s="110">
        <f>MIN(T5+U5,$F$39)+MIN(V5+(T5+U5-MIN(T5+U5,$F$39)),$K$39)</f>
        <v>100</v>
      </c>
      <c r="V9" s="110">
        <f>MIN(T5+V5,$F$39)+U5</f>
        <v>100</v>
      </c>
      <c r="W9" s="110">
        <f>MIN(T5+W5,$F$39)+U5+MIN(V5+(T5+W5-MIN(T5+W5,$F$39)),$K$39)</f>
        <v>150</v>
      </c>
      <c r="X9" s="110">
        <f>MIN(T5+X5,$F$39)+U5+MIN(V5+(T5+X5-MIN(T5+X5,$F$39)),$K$39)</f>
        <v>100</v>
      </c>
      <c r="Y9" s="110">
        <f>MIN(T5+Y5,$F$39)+U5+MIN(V5+(T5+Y5-MIN(T5+Y5,$F$39)),$K$39)</f>
        <v>100</v>
      </c>
      <c r="Z9" s="25"/>
      <c r="AA9" s="19"/>
      <c r="AB9" s="19"/>
      <c r="AC9" s="19"/>
      <c r="AD9" s="19"/>
      <c r="AE9" s="19"/>
      <c r="AF9" s="19"/>
      <c r="AG9" s="19"/>
      <c r="AH9" s="25"/>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18"/>
    </row>
    <row r="10" spans="1:65" x14ac:dyDescent="0.3">
      <c r="A10" s="1"/>
      <c r="B10" s="1"/>
      <c r="C10" t="s">
        <v>52</v>
      </c>
      <c r="D10" s="11" t="s">
        <v>44</v>
      </c>
      <c r="E10" s="4"/>
      <c r="F10" s="108">
        <f t="shared" ref="F10:K10" si="0">F9^2*$J$46</f>
        <v>11.999999999999998</v>
      </c>
      <c r="G10" s="108">
        <f t="shared" si="0"/>
        <v>15.187499999999998</v>
      </c>
      <c r="H10" s="108">
        <f t="shared" si="0"/>
        <v>9.1875</v>
      </c>
      <c r="I10" s="108">
        <f t="shared" si="0"/>
        <v>26.999999999999996</v>
      </c>
      <c r="J10" s="108">
        <f t="shared" si="0"/>
        <v>26.999999999999996</v>
      </c>
      <c r="K10" s="108">
        <f t="shared" si="0"/>
        <v>26.999999999999996</v>
      </c>
      <c r="L10" s="4"/>
      <c r="M10" s="108">
        <f t="shared" ref="M10:R10" si="1">M9^2*$J$46</f>
        <v>11.999999999999998</v>
      </c>
      <c r="N10" s="108">
        <f t="shared" si="1"/>
        <v>15.187499999999998</v>
      </c>
      <c r="O10" s="108">
        <f t="shared" si="1"/>
        <v>9.1875</v>
      </c>
      <c r="P10" s="108">
        <f t="shared" si="1"/>
        <v>18.75</v>
      </c>
      <c r="Q10" s="108">
        <f t="shared" si="1"/>
        <v>15.187499999999998</v>
      </c>
      <c r="R10" s="108">
        <f t="shared" si="1"/>
        <v>15.187499999999998</v>
      </c>
      <c r="S10" s="4"/>
      <c r="T10" s="108">
        <f t="shared" ref="T10:Y10" si="2">T9^2*$J$46</f>
        <v>2.9999999999999996</v>
      </c>
      <c r="U10" s="108">
        <f t="shared" si="2"/>
        <v>2.9999999999999996</v>
      </c>
      <c r="V10" s="108">
        <f t="shared" si="2"/>
        <v>2.9999999999999996</v>
      </c>
      <c r="W10" s="108">
        <f t="shared" si="2"/>
        <v>6.7499999999999991</v>
      </c>
      <c r="X10" s="108">
        <f t="shared" si="2"/>
        <v>2.9999999999999996</v>
      </c>
      <c r="Y10" s="108">
        <f t="shared" si="2"/>
        <v>2.9999999999999996</v>
      </c>
      <c r="Z10" s="26"/>
      <c r="AA10" s="13"/>
      <c r="AB10" s="13"/>
      <c r="AC10" s="13"/>
      <c r="AD10" s="13"/>
      <c r="AE10" s="13"/>
      <c r="AF10" s="13"/>
      <c r="AG10" s="13"/>
      <c r="AH10" s="26"/>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1"/>
    </row>
    <row r="11" spans="1:65" x14ac:dyDescent="0.3">
      <c r="A11" s="1"/>
      <c r="B11" s="1"/>
      <c r="C11" t="s">
        <v>53</v>
      </c>
      <c r="D11" s="11" t="s">
        <v>44</v>
      </c>
      <c r="E11" s="4"/>
      <c r="F11" s="108">
        <f>E7-F10</f>
        <v>14.999999999999998</v>
      </c>
      <c r="G11" s="108">
        <f>E7-G10</f>
        <v>11.812499999999998</v>
      </c>
      <c r="H11" s="108">
        <f>E7-H10</f>
        <v>17.812499999999996</v>
      </c>
      <c r="I11" s="108">
        <f>E7-I10</f>
        <v>0</v>
      </c>
      <c r="J11" s="108">
        <f>E7-J10</f>
        <v>0</v>
      </c>
      <c r="K11" s="108">
        <f>E7-K10</f>
        <v>0</v>
      </c>
      <c r="L11" s="4"/>
      <c r="M11" s="108">
        <f>L7-M10</f>
        <v>3.1875</v>
      </c>
      <c r="N11" s="108">
        <f>L7-N10</f>
        <v>0</v>
      </c>
      <c r="O11" s="108">
        <f>L7-O10</f>
        <v>5.9999999999999982</v>
      </c>
      <c r="P11" s="108">
        <f>L7-P10</f>
        <v>-3.5625000000000018</v>
      </c>
      <c r="Q11" s="108">
        <f>L7-Q10</f>
        <v>0</v>
      </c>
      <c r="R11" s="108">
        <f>L7-R10</f>
        <v>0</v>
      </c>
      <c r="S11" s="4"/>
      <c r="T11" s="108">
        <f>S7-T10</f>
        <v>0</v>
      </c>
      <c r="U11" s="108">
        <f>S7-U10</f>
        <v>0</v>
      </c>
      <c r="V11" s="108">
        <f>S7-V10</f>
        <v>0</v>
      </c>
      <c r="W11" s="108">
        <f>S7-W10</f>
        <v>-3.7499999999999996</v>
      </c>
      <c r="X11" s="108">
        <f>S7-X10</f>
        <v>0</v>
      </c>
      <c r="Y11" s="108">
        <f>S7-Y10</f>
        <v>0</v>
      </c>
      <c r="Z11" s="26"/>
      <c r="AA11" s="13"/>
      <c r="AB11" s="13"/>
      <c r="AC11" s="13"/>
      <c r="AD11" s="13"/>
      <c r="AE11" s="13"/>
      <c r="AF11" s="13"/>
      <c r="AG11" s="13"/>
      <c r="AH11" s="26"/>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1"/>
    </row>
    <row r="12" spans="1:65" x14ac:dyDescent="0.3">
      <c r="A12" s="1"/>
      <c r="B12" s="1"/>
      <c r="C12" s="97" t="s">
        <v>78</v>
      </c>
      <c r="D12" s="98" t="s">
        <v>43</v>
      </c>
      <c r="E12" s="4"/>
      <c r="F12" s="4"/>
      <c r="G12" s="4"/>
      <c r="H12" s="4"/>
      <c r="I12" s="4"/>
      <c r="J12" s="4"/>
      <c r="K12" s="4"/>
      <c r="L12" s="4"/>
      <c r="M12" s="4"/>
      <c r="N12" s="4"/>
      <c r="O12" s="4"/>
      <c r="P12" s="4"/>
      <c r="Q12" s="4"/>
      <c r="R12" s="4"/>
      <c r="S12" s="4"/>
      <c r="T12" s="4"/>
      <c r="U12" s="4"/>
      <c r="V12" s="4"/>
      <c r="W12" s="4"/>
      <c r="X12" s="4"/>
      <c r="Y12" s="4"/>
      <c r="Z12" s="26"/>
      <c r="AA12" s="99">
        <f>E4+L4+S4</f>
        <v>500</v>
      </c>
      <c r="AB12" s="13"/>
      <c r="AC12" s="13"/>
      <c r="AD12" s="13"/>
      <c r="AE12" s="13"/>
      <c r="AF12" s="13"/>
      <c r="AG12" s="13"/>
      <c r="AH12" s="26"/>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1"/>
    </row>
    <row r="13" spans="1:65" x14ac:dyDescent="0.3">
      <c r="A13" s="18"/>
      <c r="B13" s="18"/>
      <c r="C13" s="97" t="s">
        <v>75</v>
      </c>
      <c r="D13" s="98" t="s">
        <v>45</v>
      </c>
      <c r="E13" s="4"/>
      <c r="F13" s="4"/>
      <c r="G13" s="4"/>
      <c r="H13" s="4"/>
      <c r="I13" s="4"/>
      <c r="J13" s="4"/>
      <c r="K13" s="4"/>
      <c r="L13" s="4"/>
      <c r="M13" s="4"/>
      <c r="N13" s="4"/>
      <c r="O13" s="4"/>
      <c r="P13" s="4"/>
      <c r="Q13" s="4"/>
      <c r="R13" s="4"/>
      <c r="S13" s="4"/>
      <c r="T13" s="4"/>
      <c r="U13" s="4"/>
      <c r="V13" s="4"/>
      <c r="W13" s="4"/>
      <c r="X13" s="4"/>
      <c r="Y13" s="4"/>
      <c r="Z13" s="26"/>
      <c r="AA13" s="99">
        <f>SUM(AB13:AG13)</f>
        <v>114000</v>
      </c>
      <c r="AB13" s="107">
        <f>$E$4*F5+$L$4*M5+$S$4*T5</f>
        <v>38750</v>
      </c>
      <c r="AC13" s="107">
        <f t="shared" ref="AC13:AF13" si="3">$E$4*G5+$L$4*N5+$S$4*U5</f>
        <v>37500</v>
      </c>
      <c r="AD13" s="107">
        <f t="shared" si="3"/>
        <v>21250</v>
      </c>
      <c r="AE13" s="107">
        <f t="shared" si="3"/>
        <v>15000</v>
      </c>
      <c r="AF13" s="107">
        <f t="shared" si="3"/>
        <v>1250</v>
      </c>
      <c r="AG13" s="107">
        <f>$E$4*K5+$L$4*R5+$S$4*Y5</f>
        <v>250</v>
      </c>
      <c r="AH13" s="25"/>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18"/>
    </row>
    <row r="14" spans="1:65" x14ac:dyDescent="0.3">
      <c r="A14" s="18"/>
      <c r="B14" s="18"/>
      <c r="C14" s="97" t="s">
        <v>77</v>
      </c>
      <c r="D14" s="98" t="s">
        <v>45</v>
      </c>
      <c r="E14" s="4"/>
      <c r="F14" s="4"/>
      <c r="G14" s="4"/>
      <c r="H14" s="4"/>
      <c r="I14" s="4"/>
      <c r="J14" s="4"/>
      <c r="K14" s="4"/>
      <c r="L14" s="4"/>
      <c r="M14" s="4"/>
      <c r="N14" s="4"/>
      <c r="O14" s="4"/>
      <c r="P14" s="4"/>
      <c r="Q14" s="4"/>
      <c r="R14" s="4"/>
      <c r="S14" s="4"/>
      <c r="T14" s="4"/>
      <c r="U14" s="4"/>
      <c r="V14" s="4"/>
      <c r="W14" s="4"/>
      <c r="X14" s="4"/>
      <c r="Y14" s="4"/>
      <c r="Z14" s="26"/>
      <c r="AA14" s="99">
        <f>$E$4*E8+$L$4*L8+$S$4*S8</f>
        <v>107643.75</v>
      </c>
      <c r="AB14" s="13"/>
      <c r="AC14" s="13"/>
      <c r="AD14" s="13"/>
      <c r="AE14" s="13"/>
      <c r="AF14" s="13"/>
      <c r="AG14" s="13"/>
      <c r="AH14" s="25"/>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18"/>
    </row>
    <row r="15" spans="1:65" x14ac:dyDescent="0.3">
      <c r="A15" s="18"/>
      <c r="B15" s="18"/>
      <c r="C15" s="97" t="s">
        <v>129</v>
      </c>
      <c r="D15" s="98" t="s">
        <v>45</v>
      </c>
      <c r="E15" s="4"/>
      <c r="F15" s="4"/>
      <c r="G15" s="4"/>
      <c r="H15" s="4"/>
      <c r="I15" s="4"/>
      <c r="J15" s="4"/>
      <c r="K15" s="4"/>
      <c r="L15" s="4"/>
      <c r="M15" s="4"/>
      <c r="N15" s="4"/>
      <c r="O15" s="4"/>
      <c r="P15" s="4"/>
      <c r="Q15" s="4"/>
      <c r="R15" s="4"/>
      <c r="S15" s="4"/>
      <c r="T15" s="4"/>
      <c r="U15" s="4"/>
      <c r="V15" s="4"/>
      <c r="W15" s="4"/>
      <c r="X15" s="4"/>
      <c r="Y15" s="4"/>
      <c r="Z15" s="26"/>
      <c r="AA15" s="99">
        <f>$E$4*E7+$L$4*L7+$S$4*S7</f>
        <v>6356.2499999999991</v>
      </c>
      <c r="AB15" s="19"/>
      <c r="AC15" s="19"/>
      <c r="AD15" s="19"/>
      <c r="AE15" s="19"/>
      <c r="AF15" s="19"/>
      <c r="AG15" s="19"/>
      <c r="AH15" s="25"/>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18"/>
    </row>
    <row r="16" spans="1:65" x14ac:dyDescent="0.3">
      <c r="A16" s="18"/>
      <c r="B16" s="18"/>
      <c r="C16" s="97" t="s">
        <v>79</v>
      </c>
      <c r="D16" s="98" t="s">
        <v>45</v>
      </c>
      <c r="E16" s="4"/>
      <c r="F16" s="4"/>
      <c r="G16" s="4"/>
      <c r="H16" s="4"/>
      <c r="I16" s="4"/>
      <c r="J16" s="4"/>
      <c r="K16" s="4"/>
      <c r="L16" s="4"/>
      <c r="M16" s="4"/>
      <c r="N16" s="4"/>
      <c r="O16" s="4"/>
      <c r="P16" s="4"/>
      <c r="Q16" s="4"/>
      <c r="R16" s="4"/>
      <c r="S16" s="4"/>
      <c r="T16" s="4"/>
      <c r="U16" s="4"/>
      <c r="V16" s="4"/>
      <c r="W16" s="4"/>
      <c r="X16" s="4"/>
      <c r="Y16" s="4"/>
      <c r="Z16" s="26"/>
      <c r="AA16" s="19"/>
      <c r="AB16" s="99">
        <f t="shared" ref="AB16:AG16" si="4">$E$4*F10+$L$4*M10+$S$4*T10</f>
        <v>4649.9999999999991</v>
      </c>
      <c r="AC16" s="99">
        <f t="shared" si="4"/>
        <v>5765.6249999999991</v>
      </c>
      <c r="AD16" s="99">
        <f t="shared" si="4"/>
        <v>3665.625</v>
      </c>
      <c r="AE16" s="99">
        <f t="shared" si="4"/>
        <v>7987.5</v>
      </c>
      <c r="AF16" s="99">
        <f t="shared" si="4"/>
        <v>6356.2499999999991</v>
      </c>
      <c r="AG16" s="99">
        <f t="shared" si="4"/>
        <v>6356.2499999999991</v>
      </c>
      <c r="AH16" s="25"/>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18"/>
    </row>
    <row r="17" spans="1:65" x14ac:dyDescent="0.3">
      <c r="A17" s="18"/>
      <c r="B17" s="18"/>
      <c r="C17" s="97" t="s">
        <v>130</v>
      </c>
      <c r="D17" s="98" t="s">
        <v>45</v>
      </c>
      <c r="E17" s="4"/>
      <c r="F17" s="4"/>
      <c r="G17" s="4"/>
      <c r="H17" s="4"/>
      <c r="I17" s="4"/>
      <c r="J17" s="4"/>
      <c r="K17" s="4"/>
      <c r="L17" s="4"/>
      <c r="M17" s="4"/>
      <c r="N17" s="4"/>
      <c r="O17" s="4"/>
      <c r="P17" s="4"/>
      <c r="Q17" s="4"/>
      <c r="R17" s="4"/>
      <c r="S17" s="4"/>
      <c r="T17" s="4"/>
      <c r="U17" s="4"/>
      <c r="V17" s="4"/>
      <c r="W17" s="4"/>
      <c r="X17" s="4"/>
      <c r="Y17" s="4"/>
      <c r="Z17" s="26"/>
      <c r="AA17" s="19"/>
      <c r="AB17" s="107">
        <f t="shared" ref="AB17:AG17" si="5">$AA$15-AB16</f>
        <v>1706.25</v>
      </c>
      <c r="AC17" s="107">
        <f t="shared" si="5"/>
        <v>590.625</v>
      </c>
      <c r="AD17" s="107">
        <f t="shared" si="5"/>
        <v>2690.6249999999991</v>
      </c>
      <c r="AE17" s="107">
        <f t="shared" si="5"/>
        <v>-1631.2500000000009</v>
      </c>
      <c r="AF17" s="107">
        <f t="shared" si="5"/>
        <v>0</v>
      </c>
      <c r="AG17" s="107">
        <f t="shared" si="5"/>
        <v>0</v>
      </c>
      <c r="AH17" s="25"/>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18"/>
    </row>
    <row r="18" spans="1:65" x14ac:dyDescent="0.3">
      <c r="A18" s="18"/>
      <c r="B18" s="18"/>
      <c r="C18" s="95" t="s">
        <v>80</v>
      </c>
      <c r="D18" s="96" t="s">
        <v>46</v>
      </c>
      <c r="E18" s="4"/>
      <c r="F18" s="4"/>
      <c r="G18" s="4"/>
      <c r="H18" s="4"/>
      <c r="I18" s="4"/>
      <c r="J18" s="4"/>
      <c r="K18" s="4"/>
      <c r="L18" s="4"/>
      <c r="M18" s="4"/>
      <c r="N18" s="4"/>
      <c r="O18" s="4"/>
      <c r="P18" s="4"/>
      <c r="Q18" s="4"/>
      <c r="R18" s="4"/>
      <c r="S18" s="4"/>
      <c r="T18" s="4"/>
      <c r="U18" s="4"/>
      <c r="V18" s="4"/>
      <c r="W18" s="4"/>
      <c r="X18" s="4"/>
      <c r="Y18" s="4"/>
      <c r="Z18" s="26"/>
      <c r="AA18" s="19"/>
      <c r="AB18" s="100">
        <f>AB17/AB13</f>
        <v>4.4032258064516126E-2</v>
      </c>
      <c r="AC18" s="100">
        <f t="shared" ref="AC18:AG18" si="6">AC17/AC13</f>
        <v>1.575E-2</v>
      </c>
      <c r="AD18" s="100">
        <f t="shared" si="6"/>
        <v>0.12661764705882347</v>
      </c>
      <c r="AE18" s="100">
        <f t="shared" si="6"/>
        <v>-0.10875000000000005</v>
      </c>
      <c r="AF18" s="100">
        <f t="shared" si="6"/>
        <v>0</v>
      </c>
      <c r="AG18" s="100">
        <f t="shared" si="6"/>
        <v>0</v>
      </c>
      <c r="AH18" s="25"/>
      <c r="AI18" s="70">
        <f>AB18-AC18</f>
        <v>2.8282258064516126E-2</v>
      </c>
      <c r="AJ18" s="40" t="s">
        <v>71</v>
      </c>
      <c r="AK18" s="70">
        <f>AB18-AD18</f>
        <v>-8.258538899430734E-2</v>
      </c>
      <c r="AL18" s="40" t="s">
        <v>71</v>
      </c>
      <c r="AM18" s="70">
        <f>AB18-AE18</f>
        <v>0.15278225806451617</v>
      </c>
      <c r="AN18" s="40" t="s">
        <v>71</v>
      </c>
      <c r="AO18" s="70">
        <f>AB18-AF18</f>
        <v>4.4032258064516126E-2</v>
      </c>
      <c r="AP18" s="40" t="s">
        <v>71</v>
      </c>
      <c r="AQ18" s="70">
        <f>AB18-AG18</f>
        <v>4.4032258064516126E-2</v>
      </c>
      <c r="AR18" s="40" t="s">
        <v>71</v>
      </c>
      <c r="AS18" s="70">
        <f>AC18-AD18</f>
        <v>-0.11086764705882347</v>
      </c>
      <c r="AT18" s="40" t="s">
        <v>71</v>
      </c>
      <c r="AU18" s="70">
        <f>AC18-AE18</f>
        <v>0.12450000000000006</v>
      </c>
      <c r="AV18" s="40" t="s">
        <v>71</v>
      </c>
      <c r="AW18" s="70">
        <f>AC18-AF18</f>
        <v>1.575E-2</v>
      </c>
      <c r="AX18" s="40" t="s">
        <v>71</v>
      </c>
      <c r="AY18" s="70">
        <f>AC18-AG18</f>
        <v>1.575E-2</v>
      </c>
      <c r="AZ18" s="40" t="s">
        <v>71</v>
      </c>
      <c r="BA18" s="70">
        <f>AD18-AE18</f>
        <v>0.23536764705882351</v>
      </c>
      <c r="BB18" s="40" t="s">
        <v>71</v>
      </c>
      <c r="BC18" s="70">
        <f>AD18-AF18</f>
        <v>0.12661764705882347</v>
      </c>
      <c r="BD18" s="40" t="s">
        <v>71</v>
      </c>
      <c r="BE18" s="70">
        <f>AD18-AG18</f>
        <v>0.12661764705882347</v>
      </c>
      <c r="BF18" s="40" t="s">
        <v>71</v>
      </c>
      <c r="BG18" s="70">
        <f>AE18-AF18</f>
        <v>-0.10875000000000005</v>
      </c>
      <c r="BH18" s="40" t="s">
        <v>71</v>
      </c>
      <c r="BI18" s="70">
        <f>AE18-AG18</f>
        <v>-0.10875000000000005</v>
      </c>
      <c r="BJ18" s="40" t="s">
        <v>71</v>
      </c>
      <c r="BK18" s="70">
        <f>AF18-AG18</f>
        <v>0</v>
      </c>
      <c r="BL18" s="40" t="s">
        <v>71</v>
      </c>
      <c r="BM18" s="18"/>
    </row>
    <row r="19" spans="1:65" s="6" customFormat="1" ht="14.4" customHeight="1" x14ac:dyDescent="0.3">
      <c r="B19" s="133"/>
      <c r="C19" s="6" t="s">
        <v>54</v>
      </c>
      <c r="D19" s="112" t="s">
        <v>45</v>
      </c>
      <c r="E19" s="4"/>
      <c r="F19" s="4"/>
      <c r="G19" s="4"/>
      <c r="H19" s="4"/>
      <c r="I19" s="4"/>
      <c r="J19" s="4"/>
      <c r="K19" s="4"/>
      <c r="L19" s="4"/>
      <c r="M19" s="4"/>
      <c r="N19" s="4"/>
      <c r="O19" s="4"/>
      <c r="P19" s="4"/>
      <c r="Q19" s="4"/>
      <c r="R19" s="4"/>
      <c r="S19" s="4"/>
      <c r="T19" s="4"/>
      <c r="U19" s="4"/>
      <c r="V19" s="4"/>
      <c r="W19" s="4"/>
      <c r="X19" s="4"/>
      <c r="Y19" s="4"/>
      <c r="Z19" s="26"/>
      <c r="AA19" s="72">
        <f>AA15-SUMPRODUCT(AB13:AG13,AB18:AG18)</f>
        <v>3000.0000000000018</v>
      </c>
      <c r="AB19" s="14"/>
      <c r="AC19" s="14"/>
      <c r="AD19" s="14"/>
      <c r="AE19" s="14"/>
      <c r="AF19" s="14"/>
      <c r="AG19" s="14"/>
      <c r="AH19" s="27"/>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113"/>
    </row>
    <row r="20" spans="1:65" s="6" customFormat="1" x14ac:dyDescent="0.3">
      <c r="B20" s="133"/>
      <c r="C20" s="6" t="s">
        <v>55</v>
      </c>
      <c r="D20" s="81" t="s">
        <v>46</v>
      </c>
      <c r="E20" s="4"/>
      <c r="F20" s="4"/>
      <c r="G20" s="4"/>
      <c r="H20" s="4"/>
      <c r="I20" s="4"/>
      <c r="J20" s="4"/>
      <c r="K20" s="4"/>
      <c r="L20" s="4"/>
      <c r="M20" s="4"/>
      <c r="N20" s="4"/>
      <c r="O20" s="4"/>
      <c r="P20" s="4"/>
      <c r="Q20" s="4"/>
      <c r="R20" s="4"/>
      <c r="S20" s="4"/>
      <c r="T20" s="4"/>
      <c r="U20" s="4"/>
      <c r="V20" s="4"/>
      <c r="W20" s="4"/>
      <c r="X20" s="4"/>
      <c r="Y20" s="4"/>
      <c r="Z20" s="26"/>
      <c r="AA20" s="16">
        <f>AA19/$AA$13</f>
        <v>2.6315789473684226E-2</v>
      </c>
      <c r="AB20" s="31"/>
      <c r="AC20" s="31"/>
      <c r="AD20" s="31"/>
      <c r="AE20" s="31"/>
      <c r="AF20" s="31"/>
      <c r="AG20" s="31"/>
      <c r="AH20" s="28"/>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row>
    <row r="21" spans="1:65" s="6" customFormat="1" x14ac:dyDescent="0.3">
      <c r="B21" s="133"/>
      <c r="C21" s="6" t="s">
        <v>59</v>
      </c>
      <c r="D21" s="81" t="s">
        <v>46</v>
      </c>
      <c r="E21" s="24"/>
      <c r="F21" s="24"/>
      <c r="G21" s="24"/>
      <c r="H21" s="24"/>
      <c r="I21" s="24"/>
      <c r="J21" s="24"/>
      <c r="K21" s="24"/>
      <c r="L21" s="24"/>
      <c r="M21" s="24"/>
      <c r="N21" s="24"/>
      <c r="O21" s="24"/>
      <c r="P21" s="24"/>
      <c r="Q21" s="24"/>
      <c r="R21" s="24"/>
      <c r="S21" s="24"/>
      <c r="T21" s="24"/>
      <c r="U21" s="24"/>
      <c r="V21" s="24"/>
      <c r="W21" s="24"/>
      <c r="X21" s="24"/>
      <c r="Y21" s="24"/>
      <c r="Z21" s="28"/>
      <c r="AA21" s="17"/>
      <c r="AB21" s="69">
        <f t="shared" ref="AB21:AG21" si="7">AB18+$AA20</f>
        <v>7.0348047538200356E-2</v>
      </c>
      <c r="AC21" s="69">
        <f t="shared" si="7"/>
        <v>4.2065789473684223E-2</v>
      </c>
      <c r="AD21" s="69">
        <f t="shared" si="7"/>
        <v>0.15293343653250771</v>
      </c>
      <c r="AE21" s="69">
        <f t="shared" si="7"/>
        <v>-8.2434210526315832E-2</v>
      </c>
      <c r="AF21" s="69">
        <f t="shared" si="7"/>
        <v>2.6315789473684226E-2</v>
      </c>
      <c r="AG21" s="69">
        <f t="shared" si="7"/>
        <v>2.6315789473684226E-2</v>
      </c>
      <c r="AH21" s="28"/>
      <c r="AI21" s="70">
        <f>AB21-AC21</f>
        <v>2.8282258064516133E-2</v>
      </c>
      <c r="AJ21" s="114">
        <f>ROUND(AI21/$AI$18,5)</f>
        <v>1</v>
      </c>
      <c r="AK21" s="70">
        <f>AB21-AD21</f>
        <v>-8.2585388994307354E-2</v>
      </c>
      <c r="AL21" s="114">
        <f>ROUND(AK21/$AK$18,5)</f>
        <v>1</v>
      </c>
      <c r="AM21" s="70">
        <f>AB21-AE21</f>
        <v>0.15278225806451617</v>
      </c>
      <c r="AN21" s="114">
        <f>ROUND(AM21/$AM$18,5)</f>
        <v>1</v>
      </c>
      <c r="AO21" s="70">
        <f>AB21-AF21</f>
        <v>4.4032258064516133E-2</v>
      </c>
      <c r="AP21" s="114">
        <f>ROUND(AO21/$AO$18,5)</f>
        <v>1</v>
      </c>
      <c r="AQ21" s="70">
        <f>AB21-AG21</f>
        <v>4.4032258064516133E-2</v>
      </c>
      <c r="AR21" s="114">
        <f>ROUND(AQ21/$AQ$18,5)</f>
        <v>1</v>
      </c>
      <c r="AS21" s="70">
        <f>AC21-AD21</f>
        <v>-0.11086764705882349</v>
      </c>
      <c r="AT21" s="114">
        <f>ROUND(AS21/$AS$18,5)</f>
        <v>1</v>
      </c>
      <c r="AU21" s="70">
        <f>AC21-AE21</f>
        <v>0.12450000000000006</v>
      </c>
      <c r="AV21" s="114">
        <f>ROUND(AU21/$AU$18,5)</f>
        <v>1</v>
      </c>
      <c r="AW21" s="70">
        <f>AC21-AF21</f>
        <v>1.5749999999999997E-2</v>
      </c>
      <c r="AX21" s="114">
        <f>ROUND(AW21/$AW$18,5)</f>
        <v>1</v>
      </c>
      <c r="AY21" s="70">
        <f>AC21-AG21</f>
        <v>1.5749999999999997E-2</v>
      </c>
      <c r="AZ21" s="114">
        <f>ROUND(AY21/$AY$18,5)</f>
        <v>1</v>
      </c>
      <c r="BA21" s="70">
        <f>AD21-AE21</f>
        <v>0.23536764705882354</v>
      </c>
      <c r="BB21" s="114">
        <f>ROUND(BA21/$BA$18,5)</f>
        <v>1</v>
      </c>
      <c r="BC21" s="70">
        <f>AD21-AF21</f>
        <v>0.12661764705882347</v>
      </c>
      <c r="BD21" s="114">
        <f>ROUND(BC21/$BC$18,5)</f>
        <v>1</v>
      </c>
      <c r="BE21" s="70">
        <f>AD21-AG21</f>
        <v>0.12661764705882347</v>
      </c>
      <c r="BF21" s="114">
        <f>ROUND(BE21/$BE$18,5)</f>
        <v>1</v>
      </c>
      <c r="BG21" s="70">
        <f>AE21-AF21</f>
        <v>-0.10875000000000005</v>
      </c>
      <c r="BH21" s="114">
        <f>ROUND(BG21/$BG$18,5)</f>
        <v>1</v>
      </c>
      <c r="BI21" s="70">
        <f>AE21-AG21</f>
        <v>-0.10875000000000005</v>
      </c>
      <c r="BJ21" s="114">
        <f>ROUND(BI21/$BI$18,5)</f>
        <v>1</v>
      </c>
      <c r="BK21" s="70">
        <f>AF21-AG21</f>
        <v>0</v>
      </c>
      <c r="BL21" s="114"/>
    </row>
    <row r="22" spans="1:65" s="6" customFormat="1" x14ac:dyDescent="0.3">
      <c r="B22" s="133"/>
      <c r="C22" s="28" t="s">
        <v>60</v>
      </c>
      <c r="D22" s="112" t="s">
        <v>45</v>
      </c>
      <c r="E22" s="8"/>
      <c r="F22" s="8"/>
      <c r="G22" s="8"/>
      <c r="H22" s="8"/>
      <c r="I22" s="8"/>
      <c r="J22" s="8"/>
      <c r="K22" s="8"/>
      <c r="L22" s="8"/>
      <c r="M22" s="8"/>
      <c r="N22" s="8"/>
      <c r="O22" s="8"/>
      <c r="P22" s="8"/>
      <c r="Q22" s="8"/>
      <c r="R22" s="8"/>
      <c r="S22" s="8"/>
      <c r="T22" s="8"/>
      <c r="U22" s="8"/>
      <c r="V22" s="8"/>
      <c r="W22" s="8"/>
      <c r="X22" s="8"/>
      <c r="Y22" s="8"/>
      <c r="Z22" s="27"/>
      <c r="AA22" s="93">
        <f>ROUND(SUMPRODUCT(AB13:AG13,AB21:AG21)-AA15,10)</f>
        <v>0</v>
      </c>
      <c r="AB22" s="14"/>
      <c r="AC22" s="14"/>
      <c r="AD22" s="14"/>
      <c r="AE22" s="14"/>
      <c r="AF22" s="14"/>
      <c r="AG22" s="14"/>
      <c r="AH22" s="27"/>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27"/>
    </row>
    <row r="23" spans="1:65" ht="15" thickBot="1" x14ac:dyDescent="0.35">
      <c r="E23" s="5"/>
      <c r="F23" s="5"/>
      <c r="G23" s="5"/>
      <c r="H23" s="5"/>
      <c r="I23" s="5"/>
      <c r="J23" s="5"/>
      <c r="K23" s="5"/>
      <c r="L23" s="5"/>
      <c r="M23" s="5"/>
      <c r="N23" s="5"/>
      <c r="O23" s="5"/>
      <c r="P23" s="5"/>
      <c r="Q23" s="5"/>
      <c r="R23" s="5"/>
      <c r="S23" s="5"/>
      <c r="T23" s="5"/>
      <c r="U23" s="5"/>
      <c r="V23" s="5"/>
      <c r="W23" s="5"/>
      <c r="X23" s="5"/>
      <c r="Y23" s="5"/>
      <c r="Z23" s="10"/>
      <c r="AA23" s="30"/>
      <c r="AB23" s="12"/>
      <c r="AC23" s="12"/>
      <c r="AD23" s="92"/>
      <c r="AE23" s="12"/>
      <c r="AF23" s="12"/>
      <c r="AG23" s="12"/>
      <c r="AH23" s="10"/>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row>
    <row r="24" spans="1:65" ht="14.4" customHeight="1" x14ac:dyDescent="0.3">
      <c r="B24" s="134" t="s">
        <v>74</v>
      </c>
      <c r="C24" s="51" t="s">
        <v>82</v>
      </c>
      <c r="D24" s="80" t="s">
        <v>46</v>
      </c>
      <c r="E24" s="52"/>
      <c r="F24" s="129">
        <f>IF(F5=0,2*E6*$J$46,F11/F5)</f>
        <v>0.15</v>
      </c>
      <c r="G24" s="129">
        <f>IF(G5=0,2*E6*$J$46,G11/G5)</f>
        <v>0.15749999999999997</v>
      </c>
      <c r="H24" s="129">
        <f>IF(H5=0,2*E6*$J$46,H11/H5)</f>
        <v>0.14249999999999996</v>
      </c>
      <c r="I24" s="129">
        <f>IF(I5=0,0,I11/I5)</f>
        <v>0</v>
      </c>
      <c r="J24" s="129">
        <f>IF(J5=0,0,J11/J5)</f>
        <v>0</v>
      </c>
      <c r="K24" s="129">
        <f>IF(K5=0,0,K11/K5)</f>
        <v>0</v>
      </c>
      <c r="L24" s="52"/>
      <c r="M24" s="129">
        <f>IF(M5=0,0,M11/M5)</f>
        <v>3.1875000000000001E-2</v>
      </c>
      <c r="N24" s="129">
        <f>IF(N5=0,0,N11/N5)</f>
        <v>0</v>
      </c>
      <c r="O24" s="129">
        <f>IF(O5=0,0,O11/O5)</f>
        <v>0.11999999999999997</v>
      </c>
      <c r="P24" s="129">
        <f>IF(P5=0,-2*L6*$J$46,P11/P5)</f>
        <v>-0.14250000000000007</v>
      </c>
      <c r="Q24" s="129">
        <f>IF(Q5=0,-2*L6*$J$46,Q11/Q5)</f>
        <v>-0.13499999999999998</v>
      </c>
      <c r="R24" s="129">
        <f>IF(R5=0,-2*L6*$J$46,R11/R5)</f>
        <v>-0.13499999999999998</v>
      </c>
      <c r="S24" s="52"/>
      <c r="T24" s="129">
        <f>IF(T5=0,0,T11/T5)</f>
        <v>0</v>
      </c>
      <c r="U24" s="129">
        <f>IF(U5=0,0,U11/U5)</f>
        <v>0</v>
      </c>
      <c r="V24" s="129">
        <f>IF(V5=0,0,V11/V5)</f>
        <v>0</v>
      </c>
      <c r="W24" s="129">
        <f>IF(W5=0,-2*S6*$J$46,W11/W5)</f>
        <v>-7.4999999999999997E-2</v>
      </c>
      <c r="X24" s="129">
        <f>IF(X5=0,-2*S6*$J$46,X11/X5)</f>
        <v>-0.06</v>
      </c>
      <c r="Y24" s="129">
        <f>IF(Y5=0,-2*S6*$J$46,Y11/Y5)</f>
        <v>-0.06</v>
      </c>
      <c r="Z24" s="53"/>
      <c r="AA24" s="61"/>
      <c r="AB24" s="54"/>
      <c r="AC24" s="54"/>
      <c r="AD24" s="54"/>
      <c r="AE24" s="54"/>
      <c r="AF24" s="54"/>
      <c r="AG24" s="54"/>
      <c r="AH24" s="53"/>
      <c r="AI24" s="55"/>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56"/>
    </row>
    <row r="25" spans="1:65" ht="14.4" customHeight="1" x14ac:dyDescent="0.3">
      <c r="B25" s="135"/>
      <c r="C25" s="6" t="s">
        <v>54</v>
      </c>
      <c r="D25" s="81" t="s">
        <v>44</v>
      </c>
      <c r="E25" s="108">
        <f>E7-SUM(F11:K11)</f>
        <v>-17.624999999999996</v>
      </c>
      <c r="F25" s="8"/>
      <c r="G25" s="8"/>
      <c r="H25" s="8"/>
      <c r="I25" s="8"/>
      <c r="J25" s="8"/>
      <c r="K25" s="8"/>
      <c r="L25" s="108">
        <f>L7-SUM(M11:R11)</f>
        <v>9.5625000000000018</v>
      </c>
      <c r="M25" s="8"/>
      <c r="N25" s="8"/>
      <c r="O25" s="8"/>
      <c r="P25" s="8"/>
      <c r="Q25" s="8"/>
      <c r="R25" s="8"/>
      <c r="S25" s="108">
        <f>S7-SUM(T11:Y11)</f>
        <v>6.7499999999999991</v>
      </c>
      <c r="T25" s="8"/>
      <c r="U25" s="8"/>
      <c r="V25" s="8"/>
      <c r="W25" s="8"/>
      <c r="X25" s="8"/>
      <c r="Y25" s="8"/>
      <c r="Z25" s="27"/>
      <c r="AA25" s="15"/>
      <c r="AB25" s="14"/>
      <c r="AC25" s="14"/>
      <c r="AD25" s="14"/>
      <c r="AE25" s="14"/>
      <c r="AF25" s="14"/>
      <c r="AG25" s="14"/>
      <c r="AH25" s="27"/>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57"/>
    </row>
    <row r="26" spans="1:65" x14ac:dyDescent="0.3">
      <c r="B26" s="135"/>
      <c r="C26" s="6" t="s">
        <v>55</v>
      </c>
      <c r="D26" s="81" t="s">
        <v>46</v>
      </c>
      <c r="E26" s="9">
        <f>E25/E5</f>
        <v>-5.3409090909090899E-2</v>
      </c>
      <c r="F26" s="7"/>
      <c r="G26" s="7"/>
      <c r="H26" s="7"/>
      <c r="I26" s="7"/>
      <c r="J26" s="7"/>
      <c r="K26" s="7"/>
      <c r="L26" s="9">
        <f>L25/L5</f>
        <v>3.8250000000000006E-2</v>
      </c>
      <c r="M26" s="7"/>
      <c r="N26" s="7"/>
      <c r="O26" s="7"/>
      <c r="P26" s="7"/>
      <c r="Q26" s="7"/>
      <c r="R26" s="7"/>
      <c r="S26" s="9">
        <f>S25/S5</f>
        <v>4.4999999999999991E-2</v>
      </c>
      <c r="T26" s="7"/>
      <c r="U26" s="7"/>
      <c r="V26" s="7"/>
      <c r="W26" s="7"/>
      <c r="X26" s="7"/>
      <c r="Y26" s="7"/>
      <c r="Z26" s="28"/>
      <c r="AA26" s="16"/>
      <c r="AB26" s="31"/>
      <c r="AC26" s="31"/>
      <c r="AD26" s="31"/>
      <c r="AE26" s="31"/>
      <c r="AF26" s="31"/>
      <c r="AG26" s="31"/>
      <c r="AH26" s="28"/>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58"/>
    </row>
    <row r="27" spans="1:65" x14ac:dyDescent="0.3">
      <c r="B27" s="135"/>
      <c r="C27" s="6" t="s">
        <v>56</v>
      </c>
      <c r="D27" s="81" t="s">
        <v>46</v>
      </c>
      <c r="E27" s="24"/>
      <c r="F27" s="9">
        <f>F24+E26</f>
        <v>9.6590909090909088E-2</v>
      </c>
      <c r="G27" s="9">
        <f>G24+E26</f>
        <v>0.10409090909090907</v>
      </c>
      <c r="H27" s="9">
        <f>H24+E26</f>
        <v>8.9090909090909054E-2</v>
      </c>
      <c r="I27" s="9">
        <f>I24+E26</f>
        <v>-5.3409090909090899E-2</v>
      </c>
      <c r="J27" s="9">
        <f>J24+E26</f>
        <v>-5.3409090909090899E-2</v>
      </c>
      <c r="K27" s="9">
        <f>K24+E26</f>
        <v>-5.3409090909090899E-2</v>
      </c>
      <c r="L27" s="24"/>
      <c r="M27" s="9">
        <f>M24+L26</f>
        <v>7.0125000000000007E-2</v>
      </c>
      <c r="N27" s="9">
        <f>N24+L26</f>
        <v>3.8250000000000006E-2</v>
      </c>
      <c r="O27" s="9">
        <f>O24+L26</f>
        <v>0.15824999999999997</v>
      </c>
      <c r="P27" s="9">
        <f>P24+L26</f>
        <v>-0.10425000000000006</v>
      </c>
      <c r="Q27" s="9">
        <f>Q24+L26</f>
        <v>-9.6749999999999975E-2</v>
      </c>
      <c r="R27" s="9">
        <f>R24+L26</f>
        <v>-9.6749999999999975E-2</v>
      </c>
      <c r="S27" s="24"/>
      <c r="T27" s="9">
        <f>T24+S26</f>
        <v>4.4999999999999991E-2</v>
      </c>
      <c r="U27" s="9">
        <f>U24+S26</f>
        <v>4.4999999999999991E-2</v>
      </c>
      <c r="V27" s="9">
        <f>V24+S26</f>
        <v>4.4999999999999991E-2</v>
      </c>
      <c r="W27" s="9">
        <f>W24+S26</f>
        <v>-3.0000000000000006E-2</v>
      </c>
      <c r="X27" s="9">
        <f>X24+S26</f>
        <v>-1.5000000000000006E-2</v>
      </c>
      <c r="Y27" s="9">
        <f>Y24+S26</f>
        <v>-1.5000000000000006E-2</v>
      </c>
      <c r="Z27" s="28"/>
      <c r="AA27" s="17"/>
      <c r="AB27" s="21"/>
      <c r="AC27" s="21"/>
      <c r="AD27" s="16"/>
      <c r="AE27" s="16"/>
      <c r="AF27" s="16"/>
      <c r="AG27" s="16"/>
      <c r="AH27" s="28"/>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58"/>
    </row>
    <row r="28" spans="1:65" x14ac:dyDescent="0.3">
      <c r="B28" s="135"/>
      <c r="C28" s="6" t="s">
        <v>57</v>
      </c>
      <c r="D28" s="81" t="s">
        <v>46</v>
      </c>
      <c r="E28" s="24"/>
      <c r="F28" s="9"/>
      <c r="G28" s="9"/>
      <c r="H28" s="9"/>
      <c r="I28" s="9"/>
      <c r="J28" s="9"/>
      <c r="K28" s="9"/>
      <c r="L28" s="24"/>
      <c r="M28" s="9"/>
      <c r="N28" s="9"/>
      <c r="O28" s="9"/>
      <c r="P28" s="9"/>
      <c r="Q28" s="9"/>
      <c r="R28" s="9"/>
      <c r="S28" s="24"/>
      <c r="T28" s="9"/>
      <c r="U28" s="9"/>
      <c r="V28" s="9"/>
      <c r="W28" s="9"/>
      <c r="X28" s="9"/>
      <c r="Y28" s="9"/>
      <c r="Z28" s="28"/>
      <c r="AA28" s="17"/>
      <c r="AB28" s="69">
        <f t="shared" ref="AB28:AG28" si="8">($E$4*F5*F27+$L$4*M5*M27+$S$4*T5*T27)/($E$4*F5+$L$4*M5+$S$4*T5)</f>
        <v>7.1108504398826974E-2</v>
      </c>
      <c r="AC28" s="69">
        <f t="shared" si="8"/>
        <v>4.6859090909090906E-2</v>
      </c>
      <c r="AD28" s="69">
        <f t="shared" si="8"/>
        <v>0.13790909090909087</v>
      </c>
      <c r="AE28" s="69">
        <f t="shared" si="8"/>
        <v>-6.7125000000000032E-2</v>
      </c>
      <c r="AF28" s="69">
        <f t="shared" si="8"/>
        <v>-5.3409090909090899E-2</v>
      </c>
      <c r="AG28" s="69">
        <f t="shared" si="8"/>
        <v>-5.3409090909090899E-2</v>
      </c>
      <c r="AH28" s="28"/>
      <c r="AI28" s="70">
        <f>AB28-AC28</f>
        <v>2.4249413489736069E-2</v>
      </c>
      <c r="AJ28" s="43">
        <f>ROUND(AI28/$AI$18,5)</f>
        <v>0.85741000000000001</v>
      </c>
      <c r="AK28" s="70">
        <f>AB28-AD28</f>
        <v>-6.6800586510263896E-2</v>
      </c>
      <c r="AL28" s="43">
        <f>ROUND(AK28/$AK$18,5)</f>
        <v>0.80886999999999998</v>
      </c>
      <c r="AM28" s="70">
        <f>AB28-AE28</f>
        <v>0.13823350439882701</v>
      </c>
      <c r="AN28" s="43">
        <f>ROUND(AM28/$AM$18,5)</f>
        <v>0.90476999999999996</v>
      </c>
      <c r="AO28" s="70">
        <f>AB28-AF28</f>
        <v>0.12451759530791787</v>
      </c>
      <c r="AP28" s="43">
        <f>ROUND(AO28/$AO$18,5)</f>
        <v>2.8278699999999999</v>
      </c>
      <c r="AQ28" s="70">
        <f>AB28-AG28</f>
        <v>0.12451759530791787</v>
      </c>
      <c r="AR28" s="43">
        <f>ROUND(AQ28/$AQ$18,5)</f>
        <v>2.8278699999999999</v>
      </c>
      <c r="AS28" s="70">
        <f>AC28-AD28</f>
        <v>-9.1049999999999964E-2</v>
      </c>
      <c r="AT28" s="43">
        <f>ROUND(AS28/$AS$18,5)</f>
        <v>0.82125000000000004</v>
      </c>
      <c r="AU28" s="70">
        <f>AC28-AE28</f>
        <v>0.11398409090909094</v>
      </c>
      <c r="AV28" s="43">
        <f>ROUND(AU28/$AU$18,5)</f>
        <v>0.91552999999999995</v>
      </c>
      <c r="AW28" s="70">
        <f>AC28-AF28</f>
        <v>0.10026818181818181</v>
      </c>
      <c r="AX28" s="43">
        <f>ROUND(AW28/$AW$18,5)</f>
        <v>6.3662299999999998</v>
      </c>
      <c r="AY28" s="70">
        <f>AC28-AG28</f>
        <v>0.10026818181818181</v>
      </c>
      <c r="AZ28" s="43">
        <f>ROUND(AY28/$AY$18,5)</f>
        <v>6.3662299999999998</v>
      </c>
      <c r="BA28" s="70">
        <f>AD28-AE28</f>
        <v>0.20503409090909092</v>
      </c>
      <c r="BB28" s="43">
        <f>ROUND(BA28/$BA$18,5)</f>
        <v>0.87112000000000001</v>
      </c>
      <c r="BC28" s="70">
        <f>AD28-AF28</f>
        <v>0.19131818181818178</v>
      </c>
      <c r="BD28" s="43">
        <f>ROUND(BC28/$BC$18,5)</f>
        <v>1.5109900000000001</v>
      </c>
      <c r="BE28" s="70">
        <f>AD28-AG28</f>
        <v>0.19131818181818178</v>
      </c>
      <c r="BF28" s="43">
        <f>ROUND(BE28/$BE$18,5)</f>
        <v>1.5109900000000001</v>
      </c>
      <c r="BG28" s="70">
        <f>AE28-AF28</f>
        <v>-1.3715909090909133E-2</v>
      </c>
      <c r="BH28" s="43">
        <f>ROUND(BG28/$BG$18,5)</f>
        <v>0.12612000000000001</v>
      </c>
      <c r="BI28" s="70">
        <f>AE28-AG28</f>
        <v>-1.3715909090909133E-2</v>
      </c>
      <c r="BJ28" s="43">
        <f>ROUND(BI28/$BI$18,5)</f>
        <v>0.12612000000000001</v>
      </c>
      <c r="BK28" s="70">
        <f>AF28-AG28</f>
        <v>0</v>
      </c>
      <c r="BL28" s="43"/>
      <c r="BM28" s="58"/>
    </row>
    <row r="29" spans="1:65" ht="15" thickBot="1" x14ac:dyDescent="0.35">
      <c r="B29" s="136"/>
      <c r="C29" s="59" t="s">
        <v>60</v>
      </c>
      <c r="D29" s="82" t="s">
        <v>45</v>
      </c>
      <c r="E29" s="60">
        <f>ROUND(E7-SUMPRODUCT(F5:K5,F27:K27),10)</f>
        <v>0</v>
      </c>
      <c r="F29" s="62"/>
      <c r="G29" s="62"/>
      <c r="H29" s="62"/>
      <c r="I29" s="62"/>
      <c r="J29" s="62"/>
      <c r="K29" s="62"/>
      <c r="L29" s="60">
        <f>ROUND(L7-SUMPRODUCT(M5:R5,M27:R27),10)</f>
        <v>0</v>
      </c>
      <c r="M29" s="62"/>
      <c r="N29" s="62"/>
      <c r="O29" s="62"/>
      <c r="P29" s="62"/>
      <c r="Q29" s="62"/>
      <c r="R29" s="62"/>
      <c r="S29" s="60">
        <f>ROUND(S7-SUMPRODUCT(T5:Y5,T27:Y27),10)</f>
        <v>0</v>
      </c>
      <c r="T29" s="62"/>
      <c r="U29" s="62"/>
      <c r="V29" s="62"/>
      <c r="W29" s="62"/>
      <c r="X29" s="62"/>
      <c r="Y29" s="62"/>
      <c r="Z29" s="63"/>
      <c r="AA29" s="60">
        <f>ROUND(SUMPRODUCT(AB13:AG13,AB28:AG28)-AA15,10)</f>
        <v>0</v>
      </c>
      <c r="AB29" s="64"/>
      <c r="AC29" s="64"/>
      <c r="AD29" s="64"/>
      <c r="AE29" s="64"/>
      <c r="AF29" s="64"/>
      <c r="AG29" s="64"/>
      <c r="AH29" s="63"/>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6"/>
    </row>
    <row r="30" spans="1:65" ht="15" thickBot="1" x14ac:dyDescent="0.35">
      <c r="E30" s="3"/>
      <c r="F30" s="3"/>
      <c r="G30" s="3"/>
      <c r="H30" s="3"/>
      <c r="I30" s="3"/>
      <c r="J30" s="3"/>
      <c r="K30" s="3"/>
      <c r="L30" s="3"/>
      <c r="M30" s="3"/>
      <c r="N30" s="3"/>
      <c r="O30" s="3"/>
      <c r="P30" s="3"/>
      <c r="Q30" s="3"/>
      <c r="R30" s="3"/>
      <c r="S30" s="3"/>
      <c r="T30" s="3"/>
      <c r="U30" s="3"/>
      <c r="V30" s="3"/>
      <c r="W30" s="3"/>
      <c r="X30" s="3"/>
      <c r="Y30" s="3"/>
      <c r="Z30" s="10"/>
      <c r="AA30" s="12"/>
      <c r="AB30" s="12"/>
      <c r="AC30" s="12"/>
      <c r="AD30" s="12"/>
      <c r="AE30" s="12"/>
      <c r="AF30" s="12"/>
      <c r="AG30" s="12"/>
      <c r="AH30" s="10"/>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row>
    <row r="31" spans="1:65" ht="14.4" customHeight="1" x14ac:dyDescent="0.3">
      <c r="B31" s="134" t="s">
        <v>73</v>
      </c>
      <c r="C31" s="51" t="s">
        <v>82</v>
      </c>
      <c r="D31" s="80" t="s">
        <v>46</v>
      </c>
      <c r="E31" s="52"/>
      <c r="F31" s="129">
        <f>F24</f>
        <v>0.15</v>
      </c>
      <c r="G31" s="129">
        <f t="shared" ref="G31:K31" si="9">G24</f>
        <v>0.15749999999999997</v>
      </c>
      <c r="H31" s="129">
        <f t="shared" si="9"/>
        <v>0.14249999999999996</v>
      </c>
      <c r="I31" s="129">
        <f t="shared" si="9"/>
        <v>0</v>
      </c>
      <c r="J31" s="129">
        <f t="shared" si="9"/>
        <v>0</v>
      </c>
      <c r="K31" s="129">
        <f t="shared" si="9"/>
        <v>0</v>
      </c>
      <c r="L31" s="52"/>
      <c r="M31" s="129">
        <f>M24</f>
        <v>3.1875000000000001E-2</v>
      </c>
      <c r="N31" s="129">
        <f t="shared" ref="N31:R31" si="10">N24</f>
        <v>0</v>
      </c>
      <c r="O31" s="129">
        <f t="shared" si="10"/>
        <v>0.11999999999999997</v>
      </c>
      <c r="P31" s="129">
        <f t="shared" si="10"/>
        <v>-0.14250000000000007</v>
      </c>
      <c r="Q31" s="129">
        <f t="shared" si="10"/>
        <v>-0.13499999999999998</v>
      </c>
      <c r="R31" s="129">
        <f t="shared" si="10"/>
        <v>-0.13499999999999998</v>
      </c>
      <c r="S31" s="52"/>
      <c r="T31" s="129">
        <f>T24</f>
        <v>0</v>
      </c>
      <c r="U31" s="129">
        <f t="shared" ref="U31:Y31" si="11">U24</f>
        <v>0</v>
      </c>
      <c r="V31" s="129">
        <f t="shared" si="11"/>
        <v>0</v>
      </c>
      <c r="W31" s="129">
        <f t="shared" si="11"/>
        <v>-7.4999999999999997E-2</v>
      </c>
      <c r="X31" s="129">
        <f t="shared" si="11"/>
        <v>-0.06</v>
      </c>
      <c r="Y31" s="129">
        <f t="shared" si="11"/>
        <v>-0.06</v>
      </c>
      <c r="Z31" s="53"/>
      <c r="AA31" s="61"/>
      <c r="AB31" s="54"/>
      <c r="AC31" s="54"/>
      <c r="AD31" s="54"/>
      <c r="AE31" s="54"/>
      <c r="AF31" s="54"/>
      <c r="AG31" s="54"/>
      <c r="AH31" s="53"/>
      <c r="AI31" s="55"/>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56"/>
    </row>
    <row r="32" spans="1:65" ht="14.4" customHeight="1" x14ac:dyDescent="0.3">
      <c r="B32" s="135"/>
      <c r="C32" s="6" t="s">
        <v>58</v>
      </c>
      <c r="D32" s="81" t="s">
        <v>46</v>
      </c>
      <c r="E32" s="7"/>
      <c r="F32" s="7"/>
      <c r="G32" s="7"/>
      <c r="H32" s="7"/>
      <c r="I32" s="7"/>
      <c r="J32" s="7"/>
      <c r="K32" s="7"/>
      <c r="L32" s="7"/>
      <c r="M32" s="7"/>
      <c r="N32" s="7"/>
      <c r="O32" s="7"/>
      <c r="P32" s="7"/>
      <c r="Q32" s="7"/>
      <c r="R32" s="7"/>
      <c r="S32" s="7"/>
      <c r="T32" s="7"/>
      <c r="U32" s="7"/>
      <c r="V32" s="7"/>
      <c r="W32" s="7"/>
      <c r="X32" s="7"/>
      <c r="Y32" s="7"/>
      <c r="Z32" s="28"/>
      <c r="AA32" s="16"/>
      <c r="AB32" s="69">
        <f t="shared" ref="AB32:AG32" si="12">($E$4*F5*F24+$L$4*M5*M24+$S$4*T5*T24)/($E$4*F5+$L$4*M5+$S$4*T5)</f>
        <v>4.4032258064516126E-2</v>
      </c>
      <c r="AC32" s="69">
        <f t="shared" si="12"/>
        <v>1.5749999999999997E-2</v>
      </c>
      <c r="AD32" s="69">
        <f t="shared" si="12"/>
        <v>0.12661764705882347</v>
      </c>
      <c r="AE32" s="69">
        <f t="shared" si="12"/>
        <v>-0.10875000000000003</v>
      </c>
      <c r="AF32" s="69">
        <f t="shared" si="12"/>
        <v>0</v>
      </c>
      <c r="AG32" s="69">
        <f t="shared" si="12"/>
        <v>0</v>
      </c>
      <c r="AH32" s="28"/>
      <c r="AI32" s="37"/>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58"/>
    </row>
    <row r="33" spans="2:65" ht="14.4" customHeight="1" x14ac:dyDescent="0.3">
      <c r="B33" s="135"/>
      <c r="C33" s="6" t="s">
        <v>54</v>
      </c>
      <c r="D33" s="81" t="s">
        <v>45</v>
      </c>
      <c r="E33" s="8"/>
      <c r="F33" s="8"/>
      <c r="G33" s="8"/>
      <c r="H33" s="8"/>
      <c r="I33" s="8"/>
      <c r="J33" s="8"/>
      <c r="K33" s="8"/>
      <c r="L33" s="8"/>
      <c r="M33" s="8"/>
      <c r="N33" s="8"/>
      <c r="O33" s="8"/>
      <c r="P33" s="8"/>
      <c r="Q33" s="8"/>
      <c r="R33" s="8"/>
      <c r="S33" s="8"/>
      <c r="T33" s="8"/>
      <c r="U33" s="8"/>
      <c r="V33" s="8"/>
      <c r="W33" s="8"/>
      <c r="X33" s="8"/>
      <c r="Y33" s="8"/>
      <c r="Z33" s="27"/>
      <c r="AA33" s="72">
        <f>AA15-SUMPRODUCT(AB13:AG13,AB32:AG32)</f>
        <v>3000.0000000000014</v>
      </c>
      <c r="AB33" s="14"/>
      <c r="AC33" s="14"/>
      <c r="AD33" s="14"/>
      <c r="AE33" s="14"/>
      <c r="AF33" s="14"/>
      <c r="AG33" s="14"/>
      <c r="AH33" s="27"/>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57"/>
    </row>
    <row r="34" spans="2:65" x14ac:dyDescent="0.3">
      <c r="B34" s="135"/>
      <c r="C34" s="6" t="s">
        <v>55</v>
      </c>
      <c r="D34" s="81" t="s">
        <v>46</v>
      </c>
      <c r="E34" s="7"/>
      <c r="F34" s="7"/>
      <c r="G34" s="7"/>
      <c r="H34" s="7"/>
      <c r="I34" s="7"/>
      <c r="J34" s="7"/>
      <c r="K34" s="7"/>
      <c r="L34" s="7"/>
      <c r="M34" s="7"/>
      <c r="N34" s="7"/>
      <c r="O34" s="7"/>
      <c r="P34" s="7"/>
      <c r="Q34" s="7"/>
      <c r="R34" s="7"/>
      <c r="S34" s="7"/>
      <c r="T34" s="7"/>
      <c r="U34" s="7"/>
      <c r="V34" s="7"/>
      <c r="W34" s="7"/>
      <c r="X34" s="7"/>
      <c r="Y34" s="7"/>
      <c r="Z34" s="28"/>
      <c r="AA34" s="16">
        <f>AA33/$AA$13</f>
        <v>2.6315789473684223E-2</v>
      </c>
      <c r="AB34" s="31"/>
      <c r="AC34" s="31"/>
      <c r="AD34" s="31"/>
      <c r="AE34" s="31"/>
      <c r="AF34" s="31"/>
      <c r="AG34" s="31"/>
      <c r="AH34" s="28"/>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58"/>
    </row>
    <row r="35" spans="2:65" x14ac:dyDescent="0.3">
      <c r="B35" s="135"/>
      <c r="C35" s="6" t="s">
        <v>59</v>
      </c>
      <c r="D35" s="81" t="s">
        <v>46</v>
      </c>
      <c r="E35" s="24"/>
      <c r="F35" s="24"/>
      <c r="G35" s="24"/>
      <c r="H35" s="24"/>
      <c r="I35" s="24"/>
      <c r="J35" s="24"/>
      <c r="K35" s="24"/>
      <c r="L35" s="24"/>
      <c r="M35" s="24"/>
      <c r="N35" s="24"/>
      <c r="O35" s="24"/>
      <c r="P35" s="24"/>
      <c r="Q35" s="24"/>
      <c r="R35" s="24"/>
      <c r="S35" s="24"/>
      <c r="T35" s="24"/>
      <c r="U35" s="24"/>
      <c r="V35" s="24"/>
      <c r="W35" s="24"/>
      <c r="X35" s="24"/>
      <c r="Y35" s="24"/>
      <c r="Z35" s="28"/>
      <c r="AA35" s="17"/>
      <c r="AB35" s="69">
        <f>AB32+AA34</f>
        <v>7.0348047538200342E-2</v>
      </c>
      <c r="AC35" s="69">
        <f>AC32+AA34</f>
        <v>4.2065789473684223E-2</v>
      </c>
      <c r="AD35" s="31">
        <f>AD32+AA34</f>
        <v>0.15293343653250768</v>
      </c>
      <c r="AE35" s="31">
        <f>AE32+AA34</f>
        <v>-8.2434210526315804E-2</v>
      </c>
      <c r="AF35" s="31">
        <f>AF32+AA34</f>
        <v>2.6315789473684223E-2</v>
      </c>
      <c r="AG35" s="31">
        <f>AG32+AA34</f>
        <v>2.6315789473684223E-2</v>
      </c>
      <c r="AH35" s="28"/>
      <c r="AI35" s="70">
        <f>AB35-AC35</f>
        <v>2.8282258064516119E-2</v>
      </c>
      <c r="AJ35" s="43">
        <f>ROUND(AI35/$AI$18,5)</f>
        <v>1</v>
      </c>
      <c r="AK35" s="70">
        <f>AB35-AD35</f>
        <v>-8.258538899430734E-2</v>
      </c>
      <c r="AL35" s="43">
        <f>ROUND(AK35/$AK$18,5)</f>
        <v>1</v>
      </c>
      <c r="AM35" s="70">
        <f>AB35-AE35</f>
        <v>0.15278225806451615</v>
      </c>
      <c r="AN35" s="43">
        <f>ROUND(AM35/$AM$18,5)</f>
        <v>1</v>
      </c>
      <c r="AO35" s="70">
        <f>AB35-AF35</f>
        <v>4.4032258064516119E-2</v>
      </c>
      <c r="AP35" s="43">
        <f>ROUND(AO35/$AO$18,5)</f>
        <v>1</v>
      </c>
      <c r="AQ35" s="70">
        <f>AB35-AG35</f>
        <v>4.4032258064516119E-2</v>
      </c>
      <c r="AR35" s="43">
        <f>ROUND(AQ35/$AQ$18,5)</f>
        <v>1</v>
      </c>
      <c r="AS35" s="70">
        <f>AC35-AD35</f>
        <v>-0.11086764705882346</v>
      </c>
      <c r="AT35" s="43">
        <f>ROUND(AS35/$AS$18,5)</f>
        <v>1</v>
      </c>
      <c r="AU35" s="70">
        <f>AC35-AE35</f>
        <v>0.12450000000000003</v>
      </c>
      <c r="AV35" s="43">
        <f>ROUND(AU35/$AU$18,5)</f>
        <v>1</v>
      </c>
      <c r="AW35" s="70">
        <f>AC35-AF35</f>
        <v>1.575E-2</v>
      </c>
      <c r="AX35" s="43">
        <f>ROUND(AW35/$AW$18,5)</f>
        <v>1</v>
      </c>
      <c r="AY35" s="70">
        <f>AC35-AG35</f>
        <v>1.575E-2</v>
      </c>
      <c r="AZ35" s="43">
        <f>ROUND(AY35/$AY$18,5)</f>
        <v>1</v>
      </c>
      <c r="BA35" s="70">
        <f>AD35-AE35</f>
        <v>0.23536764705882349</v>
      </c>
      <c r="BB35" s="43">
        <f>ROUND(BA35/$BA$18,5)</f>
        <v>1</v>
      </c>
      <c r="BC35" s="70">
        <f>AD35-AF35</f>
        <v>0.12661764705882345</v>
      </c>
      <c r="BD35" s="43">
        <f>ROUND(BC35/$BC$18,5)</f>
        <v>1</v>
      </c>
      <c r="BE35" s="70">
        <f>AD35-AG35</f>
        <v>0.12661764705882345</v>
      </c>
      <c r="BF35" s="43">
        <f>ROUND(BE35/$BE$18,5)</f>
        <v>1</v>
      </c>
      <c r="BG35" s="70">
        <f>AE35-AF35</f>
        <v>-0.10875000000000003</v>
      </c>
      <c r="BH35" s="43">
        <f>ROUND(BG35/$BG$18,5)</f>
        <v>1</v>
      </c>
      <c r="BI35" s="70">
        <f>AE35-AG35</f>
        <v>-0.10875000000000003</v>
      </c>
      <c r="BJ35" s="43">
        <f>ROUND(BI35/$BI$18,5)</f>
        <v>1</v>
      </c>
      <c r="BK35" s="70">
        <f>AF35-AG35</f>
        <v>0</v>
      </c>
      <c r="BL35" s="43"/>
      <c r="BM35" s="58"/>
    </row>
    <row r="36" spans="2:65" ht="15" thickBot="1" x14ac:dyDescent="0.35">
      <c r="B36" s="136"/>
      <c r="C36" s="59" t="s">
        <v>60</v>
      </c>
      <c r="D36" s="83" t="s">
        <v>45</v>
      </c>
      <c r="E36" s="62"/>
      <c r="F36" s="62"/>
      <c r="G36" s="62"/>
      <c r="H36" s="62"/>
      <c r="I36" s="62"/>
      <c r="J36" s="62"/>
      <c r="K36" s="62"/>
      <c r="L36" s="62"/>
      <c r="M36" s="62"/>
      <c r="N36" s="62"/>
      <c r="O36" s="62"/>
      <c r="P36" s="62"/>
      <c r="Q36" s="62"/>
      <c r="R36" s="62"/>
      <c r="S36" s="62"/>
      <c r="T36" s="62"/>
      <c r="U36" s="62"/>
      <c r="V36" s="62"/>
      <c r="W36" s="62"/>
      <c r="X36" s="62"/>
      <c r="Y36" s="62"/>
      <c r="Z36" s="63"/>
      <c r="AA36" s="60">
        <f>ROUND(SUMPRODUCT(AB13:AG13,AB35:AG35)-AA15,10)</f>
        <v>0</v>
      </c>
      <c r="AB36" s="64"/>
      <c r="AC36" s="64"/>
      <c r="AD36" s="64"/>
      <c r="AE36" s="64"/>
      <c r="AF36" s="64"/>
      <c r="AG36" s="64"/>
      <c r="AH36" s="63"/>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6"/>
    </row>
    <row r="37" spans="2:65" x14ac:dyDescent="0.3">
      <c r="Z37" s="10"/>
      <c r="AH37" s="10"/>
    </row>
    <row r="38" spans="2:65" x14ac:dyDescent="0.3">
      <c r="C38" s="50" t="s">
        <v>14</v>
      </c>
      <c r="D38" s="84"/>
      <c r="F38" s="11" t="s">
        <v>23</v>
      </c>
      <c r="H38" s="79" t="s">
        <v>26</v>
      </c>
      <c r="I38" s="79"/>
      <c r="K38" s="79" t="s">
        <v>27</v>
      </c>
      <c r="L38" s="79"/>
      <c r="N38" s="75" t="s">
        <v>17</v>
      </c>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row>
    <row r="39" spans="2:65" x14ac:dyDescent="0.3">
      <c r="C39" s="44" t="s">
        <v>10</v>
      </c>
      <c r="D39" s="85"/>
      <c r="F39" s="11">
        <v>100</v>
      </c>
      <c r="H39" s="79">
        <v>75</v>
      </c>
      <c r="I39" s="79"/>
      <c r="K39" s="79">
        <v>125</v>
      </c>
      <c r="L39" s="79"/>
      <c r="N39" s="91" t="s">
        <v>61</v>
      </c>
      <c r="O39" s="132" t="s">
        <v>68</v>
      </c>
      <c r="P39" s="132"/>
      <c r="Q39" s="132"/>
      <c r="R39" s="132"/>
      <c r="S39" s="132"/>
      <c r="T39" s="132"/>
      <c r="U39" s="132"/>
      <c r="V39" s="132"/>
      <c r="W39" s="132"/>
      <c r="X39" s="132"/>
      <c r="Y39" s="132"/>
      <c r="Z39" s="132"/>
      <c r="AA39" s="132"/>
      <c r="AB39" s="132"/>
      <c r="AC39" s="132"/>
      <c r="AD39" s="132"/>
      <c r="AE39" s="132"/>
      <c r="AF39" s="132"/>
      <c r="AG39" s="132"/>
    </row>
    <row r="40" spans="2:65" x14ac:dyDescent="0.3">
      <c r="C40" s="11"/>
      <c r="D40" s="86"/>
      <c r="N40" s="11"/>
      <c r="O40" s="132"/>
      <c r="P40" s="132"/>
      <c r="Q40" s="132"/>
      <c r="R40" s="132"/>
      <c r="S40" s="132"/>
      <c r="T40" s="132"/>
      <c r="U40" s="132"/>
      <c r="V40" s="132"/>
      <c r="W40" s="132"/>
      <c r="X40" s="132"/>
      <c r="Y40" s="132"/>
      <c r="Z40" s="132"/>
      <c r="AA40" s="132"/>
      <c r="AB40" s="132"/>
      <c r="AC40" s="132"/>
      <c r="AD40" s="132"/>
      <c r="AE40" s="132"/>
      <c r="AF40" s="132"/>
      <c r="AG40" s="132"/>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row>
    <row r="41" spans="2:65" x14ac:dyDescent="0.3">
      <c r="C41" s="45" t="s">
        <v>11</v>
      </c>
      <c r="D41" s="85"/>
      <c r="N41" s="91" t="s">
        <v>67</v>
      </c>
      <c r="O41" s="132" t="s">
        <v>83</v>
      </c>
      <c r="P41" s="132"/>
      <c r="Q41" s="132"/>
      <c r="R41" s="132"/>
      <c r="S41" s="132"/>
      <c r="T41" s="132"/>
      <c r="U41" s="132"/>
      <c r="V41" s="132"/>
      <c r="W41" s="132"/>
      <c r="X41" s="132"/>
      <c r="Y41" s="132"/>
      <c r="Z41" s="132"/>
      <c r="AA41" s="132"/>
      <c r="AB41" s="132"/>
      <c r="AC41" s="132"/>
      <c r="AD41" s="132"/>
      <c r="AE41" s="132"/>
      <c r="AF41" s="132"/>
      <c r="AG41" s="132"/>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row>
    <row r="42" spans="2:65" x14ac:dyDescent="0.3">
      <c r="C42" s="11"/>
      <c r="D42" s="87"/>
      <c r="N42" s="11"/>
      <c r="O42" s="132"/>
      <c r="P42" s="132"/>
      <c r="Q42" s="132"/>
      <c r="R42" s="132"/>
      <c r="S42" s="132"/>
      <c r="T42" s="132"/>
      <c r="U42" s="132"/>
      <c r="V42" s="132"/>
      <c r="W42" s="132"/>
      <c r="X42" s="132"/>
      <c r="Y42" s="132"/>
      <c r="Z42" s="132"/>
      <c r="AA42" s="132"/>
      <c r="AB42" s="132"/>
      <c r="AC42" s="132"/>
      <c r="AD42" s="132"/>
      <c r="AE42" s="132"/>
      <c r="AF42" s="132"/>
      <c r="AG42" s="132"/>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row>
    <row r="43" spans="2:65" x14ac:dyDescent="0.3">
      <c r="C43" s="46" t="s">
        <v>12</v>
      </c>
      <c r="D43" s="85"/>
      <c r="N43" s="91" t="s">
        <v>66</v>
      </c>
      <c r="O43" s="132" t="s">
        <v>72</v>
      </c>
      <c r="P43" s="132"/>
      <c r="Q43" s="132"/>
      <c r="R43" s="132"/>
      <c r="S43" s="132"/>
      <c r="T43" s="132"/>
      <c r="U43" s="132"/>
      <c r="V43" s="132"/>
      <c r="W43" s="132"/>
      <c r="X43" s="132"/>
      <c r="Y43" s="132"/>
      <c r="Z43" s="132"/>
      <c r="AA43" s="132"/>
      <c r="AB43" s="132"/>
      <c r="AC43" s="132"/>
      <c r="AD43" s="132"/>
      <c r="AE43" s="132"/>
      <c r="AF43" s="132"/>
      <c r="AG43" s="132"/>
    </row>
    <row r="44" spans="2:65" x14ac:dyDescent="0.3">
      <c r="C44" s="11"/>
      <c r="D44" s="88"/>
      <c r="N44" s="11"/>
      <c r="O44" s="132"/>
      <c r="P44" s="132"/>
      <c r="Q44" s="132"/>
      <c r="R44" s="132"/>
      <c r="S44" s="132"/>
      <c r="T44" s="132"/>
      <c r="U44" s="132"/>
      <c r="V44" s="132"/>
      <c r="W44" s="132"/>
      <c r="X44" s="132"/>
      <c r="Y44" s="132"/>
      <c r="Z44" s="132"/>
      <c r="AA44" s="132"/>
      <c r="AB44" s="132"/>
      <c r="AC44" s="132"/>
      <c r="AD44" s="132"/>
      <c r="AE44" s="132"/>
      <c r="AF44" s="132"/>
      <c r="AG44" s="132"/>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row>
    <row r="45" spans="2:65" x14ac:dyDescent="0.3">
      <c r="C45" s="47" t="s">
        <v>41</v>
      </c>
      <c r="D45" s="85"/>
      <c r="N45" s="91" t="s">
        <v>65</v>
      </c>
      <c r="O45" s="132" t="s">
        <v>69</v>
      </c>
      <c r="P45" s="132"/>
      <c r="Q45" s="132"/>
      <c r="R45" s="132"/>
      <c r="S45" s="132"/>
      <c r="T45" s="132"/>
      <c r="U45" s="132"/>
      <c r="V45" s="132"/>
      <c r="W45" s="132"/>
      <c r="X45" s="132"/>
      <c r="Y45" s="132"/>
      <c r="Z45" s="132"/>
      <c r="AA45" s="132"/>
      <c r="AB45" s="132"/>
      <c r="AC45" s="132"/>
      <c r="AD45" s="132"/>
      <c r="AE45" s="132"/>
      <c r="AF45" s="132"/>
      <c r="AG45" s="132"/>
    </row>
    <row r="46" spans="2:65" x14ac:dyDescent="0.3">
      <c r="C46" s="11"/>
      <c r="D46" s="81"/>
      <c r="I46" s="71" t="s">
        <v>3</v>
      </c>
      <c r="J46" s="42">
        <v>2.9999999999999997E-4</v>
      </c>
      <c r="N46" s="11"/>
      <c r="O46" s="132"/>
      <c r="P46" s="132"/>
      <c r="Q46" s="132"/>
      <c r="R46" s="132"/>
      <c r="S46" s="132"/>
      <c r="T46" s="132"/>
      <c r="U46" s="132"/>
      <c r="V46" s="132"/>
      <c r="W46" s="132"/>
      <c r="X46" s="132"/>
      <c r="Y46" s="132"/>
      <c r="Z46" s="132"/>
      <c r="AA46" s="132"/>
      <c r="AB46" s="132"/>
      <c r="AC46" s="132"/>
      <c r="AD46" s="132"/>
      <c r="AE46" s="132"/>
      <c r="AF46" s="132"/>
      <c r="AG46" s="132"/>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row>
    <row r="47" spans="2:65" x14ac:dyDescent="0.3">
      <c r="C47" s="48" t="s">
        <v>13</v>
      </c>
      <c r="D47" s="85"/>
      <c r="N47" s="91" t="s">
        <v>64</v>
      </c>
      <c r="O47" s="132" t="s">
        <v>81</v>
      </c>
      <c r="P47" s="132"/>
      <c r="Q47" s="132"/>
      <c r="R47" s="132"/>
      <c r="S47" s="132"/>
      <c r="T47" s="132"/>
      <c r="U47" s="132"/>
      <c r="V47" s="132"/>
      <c r="W47" s="132"/>
      <c r="X47" s="132"/>
      <c r="Y47" s="132"/>
      <c r="Z47" s="132"/>
      <c r="AA47" s="132"/>
      <c r="AB47" s="132"/>
      <c r="AC47" s="132"/>
      <c r="AD47" s="132"/>
      <c r="AE47" s="132"/>
      <c r="AF47" s="132"/>
      <c r="AG47" s="132"/>
      <c r="AH47" s="10"/>
    </row>
    <row r="48" spans="2:65" x14ac:dyDescent="0.3">
      <c r="C48" s="11"/>
      <c r="D48" s="89"/>
      <c r="N48" s="11"/>
      <c r="O48" s="132"/>
      <c r="P48" s="132"/>
      <c r="Q48" s="132"/>
      <c r="R48" s="132"/>
      <c r="S48" s="132"/>
      <c r="T48" s="132"/>
      <c r="U48" s="132"/>
      <c r="V48" s="132"/>
      <c r="W48" s="132"/>
      <c r="X48" s="132"/>
      <c r="Y48" s="132"/>
      <c r="Z48" s="132"/>
      <c r="AA48" s="132"/>
      <c r="AB48" s="132"/>
      <c r="AC48" s="132"/>
      <c r="AD48" s="132"/>
      <c r="AE48" s="132"/>
      <c r="AF48" s="132"/>
      <c r="AG48" s="132"/>
      <c r="AH48" s="10"/>
    </row>
    <row r="49" spans="3:34" ht="15" customHeight="1" x14ac:dyDescent="0.3">
      <c r="C49" s="49" t="s">
        <v>9</v>
      </c>
      <c r="D49" s="85"/>
      <c r="N49" s="91" t="s">
        <v>63</v>
      </c>
      <c r="O49" s="132" t="s">
        <v>84</v>
      </c>
      <c r="P49" s="132"/>
      <c r="Q49" s="132"/>
      <c r="R49" s="132"/>
      <c r="S49" s="132"/>
      <c r="T49" s="132"/>
      <c r="U49" s="132"/>
      <c r="V49" s="132"/>
      <c r="W49" s="132"/>
      <c r="X49" s="132"/>
      <c r="Y49" s="132"/>
      <c r="Z49" s="132"/>
      <c r="AA49" s="132"/>
      <c r="AB49" s="132"/>
      <c r="AC49" s="132"/>
      <c r="AD49" s="132"/>
      <c r="AE49" s="132"/>
      <c r="AF49" s="132"/>
      <c r="AG49" s="132"/>
      <c r="AH49" s="10"/>
    </row>
    <row r="50" spans="3:34" x14ac:dyDescent="0.3">
      <c r="D50" s="90"/>
      <c r="N50" s="11"/>
      <c r="O50" s="132"/>
      <c r="P50" s="132"/>
      <c r="Q50" s="132"/>
      <c r="R50" s="132"/>
      <c r="S50" s="132"/>
      <c r="T50" s="132"/>
      <c r="U50" s="132"/>
      <c r="V50" s="132"/>
      <c r="W50" s="132"/>
      <c r="X50" s="132"/>
      <c r="Y50" s="132"/>
      <c r="Z50" s="132"/>
      <c r="AA50" s="132"/>
      <c r="AB50" s="132"/>
      <c r="AC50" s="132"/>
      <c r="AD50" s="132"/>
      <c r="AE50" s="132"/>
      <c r="AF50" s="132"/>
      <c r="AG50" s="132"/>
      <c r="AH50" s="10"/>
    </row>
    <row r="51" spans="3:34" x14ac:dyDescent="0.3">
      <c r="C51" s="96" t="s">
        <v>76</v>
      </c>
      <c r="D51" s="85"/>
      <c r="N51" s="91" t="s">
        <v>62</v>
      </c>
      <c r="O51" s="132" t="s">
        <v>86</v>
      </c>
      <c r="P51" s="132"/>
      <c r="Q51" s="132"/>
      <c r="R51" s="132"/>
      <c r="S51" s="132"/>
      <c r="T51" s="132"/>
      <c r="U51" s="132"/>
      <c r="V51" s="132"/>
      <c r="W51" s="132"/>
      <c r="X51" s="132"/>
      <c r="Y51" s="132"/>
      <c r="Z51" s="132"/>
      <c r="AA51" s="132"/>
      <c r="AB51" s="132"/>
      <c r="AC51" s="132"/>
      <c r="AD51" s="132"/>
      <c r="AE51" s="132"/>
      <c r="AF51" s="132"/>
      <c r="AG51" s="132"/>
      <c r="AH51" s="10"/>
    </row>
    <row r="52" spans="3:34" ht="15" thickBot="1" x14ac:dyDescent="0.35">
      <c r="D52" s="81"/>
      <c r="N52" s="11"/>
      <c r="O52" s="132"/>
      <c r="P52" s="132"/>
      <c r="Q52" s="132"/>
      <c r="R52" s="132"/>
      <c r="S52" s="132"/>
      <c r="T52" s="132"/>
      <c r="U52" s="132"/>
      <c r="V52" s="132"/>
      <c r="W52" s="132"/>
      <c r="X52" s="132"/>
      <c r="Y52" s="132"/>
      <c r="Z52" s="132"/>
      <c r="AA52" s="132"/>
      <c r="AB52" s="132"/>
      <c r="AC52" s="132"/>
      <c r="AD52" s="132"/>
      <c r="AE52" s="132"/>
      <c r="AF52" s="132"/>
      <c r="AG52" s="132"/>
      <c r="AH52" s="10"/>
    </row>
    <row r="53" spans="3:34" ht="15" thickBot="1" x14ac:dyDescent="0.35">
      <c r="C53" s="67" t="s">
        <v>15</v>
      </c>
      <c r="D53" s="85"/>
      <c r="N53" s="91" t="s">
        <v>87</v>
      </c>
      <c r="O53" s="132" t="s">
        <v>85</v>
      </c>
      <c r="P53" s="132"/>
      <c r="Q53" s="132"/>
      <c r="R53" s="132"/>
      <c r="S53" s="132"/>
      <c r="T53" s="132"/>
      <c r="U53" s="132"/>
      <c r="V53" s="132"/>
      <c r="W53" s="132"/>
      <c r="X53" s="132"/>
      <c r="Y53" s="132"/>
      <c r="Z53" s="132"/>
      <c r="AA53" s="132"/>
      <c r="AB53" s="132"/>
      <c r="AC53" s="132"/>
      <c r="AD53" s="132"/>
      <c r="AE53" s="132"/>
      <c r="AF53" s="132"/>
      <c r="AG53" s="132"/>
    </row>
    <row r="54" spans="3:34" x14ac:dyDescent="0.3">
      <c r="F54" s="11" t="s">
        <v>24</v>
      </c>
      <c r="I54" s="11" t="s">
        <v>25</v>
      </c>
      <c r="K54" s="11" t="s">
        <v>25</v>
      </c>
      <c r="N54" s="11"/>
      <c r="O54" s="132"/>
      <c r="P54" s="132"/>
      <c r="Q54" s="132"/>
      <c r="R54" s="132"/>
      <c r="S54" s="132"/>
      <c r="T54" s="132"/>
      <c r="U54" s="132"/>
      <c r="V54" s="132"/>
      <c r="W54" s="132"/>
      <c r="X54" s="132"/>
      <c r="Y54" s="132"/>
      <c r="Z54" s="132"/>
      <c r="AA54" s="132"/>
      <c r="AB54" s="132"/>
      <c r="AC54" s="132"/>
      <c r="AD54" s="132"/>
      <c r="AE54" s="132"/>
      <c r="AF54" s="132"/>
      <c r="AG54" s="132"/>
    </row>
    <row r="55" spans="3:34" x14ac:dyDescent="0.3">
      <c r="F55" s="11">
        <v>50</v>
      </c>
      <c r="I55" s="11">
        <v>75</v>
      </c>
      <c r="K55" s="11">
        <v>100</v>
      </c>
    </row>
  </sheetData>
  <mergeCells count="11">
    <mergeCell ref="O45:AG46"/>
    <mergeCell ref="O47:AG48"/>
    <mergeCell ref="O49:AG50"/>
    <mergeCell ref="O51:AG52"/>
    <mergeCell ref="O53:AG54"/>
    <mergeCell ref="O43:AG44"/>
    <mergeCell ref="B19:B22"/>
    <mergeCell ref="B24:B29"/>
    <mergeCell ref="B31:B36"/>
    <mergeCell ref="O39:AG40"/>
    <mergeCell ref="O41:AG42"/>
  </mergeCells>
  <conditionalFormatting sqref="AA29">
    <cfRule type="cellIs" dxfId="191" priority="191" operator="equal">
      <formula>0</formula>
    </cfRule>
    <cfRule type="cellIs" dxfId="190" priority="192" operator="equal">
      <formula>" -   "</formula>
    </cfRule>
  </conditionalFormatting>
  <conditionalFormatting sqref="AA36">
    <cfRule type="cellIs" dxfId="189" priority="189" operator="equal">
      <formula>0</formula>
    </cfRule>
    <cfRule type="cellIs" dxfId="188" priority="190" operator="equal">
      <formula>" -   "</formula>
    </cfRule>
  </conditionalFormatting>
  <conditionalFormatting sqref="AJ28">
    <cfRule type="cellIs" dxfId="187" priority="183" operator="equal">
      <formula>1</formula>
    </cfRule>
    <cfRule type="cellIs" dxfId="186" priority="184" operator="equal">
      <formula>0</formula>
    </cfRule>
    <cfRule type="cellIs" dxfId="185" priority="185" operator="equal">
      <formula>" -   "</formula>
    </cfRule>
  </conditionalFormatting>
  <conditionalFormatting sqref="AL35">
    <cfRule type="cellIs" dxfId="184" priority="177" operator="equal">
      <formula>1</formula>
    </cfRule>
    <cfRule type="cellIs" dxfId="183" priority="178" operator="equal">
      <formula>0</formula>
    </cfRule>
    <cfRule type="cellIs" dxfId="182" priority="179" operator="equal">
      <formula>" -   "</formula>
    </cfRule>
  </conditionalFormatting>
  <conditionalFormatting sqref="AT35">
    <cfRule type="cellIs" dxfId="181" priority="171" operator="equal">
      <formula>1</formula>
    </cfRule>
    <cfRule type="cellIs" dxfId="180" priority="172" operator="equal">
      <formula>0</formula>
    </cfRule>
    <cfRule type="cellIs" dxfId="179" priority="173" operator="equal">
      <formula>" -   "</formula>
    </cfRule>
  </conditionalFormatting>
  <conditionalFormatting sqref="AL28">
    <cfRule type="cellIs" dxfId="178" priority="186" operator="equal">
      <formula>1</formula>
    </cfRule>
    <cfRule type="cellIs" dxfId="177" priority="187" operator="equal">
      <formula>0</formula>
    </cfRule>
    <cfRule type="cellIs" dxfId="176" priority="188" operator="equal">
      <formula>" -   "</formula>
    </cfRule>
  </conditionalFormatting>
  <conditionalFormatting sqref="AT28">
    <cfRule type="cellIs" dxfId="175" priority="180" operator="equal">
      <formula>1</formula>
    </cfRule>
    <cfRule type="cellIs" dxfId="174" priority="181" operator="equal">
      <formula>0</formula>
    </cfRule>
    <cfRule type="cellIs" dxfId="173" priority="182" operator="equal">
      <formula>" -   "</formula>
    </cfRule>
  </conditionalFormatting>
  <conditionalFormatting sqref="AJ35">
    <cfRule type="cellIs" dxfId="172" priority="174" operator="equal">
      <formula>1</formula>
    </cfRule>
    <cfRule type="cellIs" dxfId="171" priority="175" operator="equal">
      <formula>0</formula>
    </cfRule>
    <cfRule type="cellIs" dxfId="170" priority="176" operator="equal">
      <formula>" -   "</formula>
    </cfRule>
  </conditionalFormatting>
  <conditionalFormatting sqref="AJ18">
    <cfRule type="cellIs" dxfId="169" priority="165" operator="equal">
      <formula>1</formula>
    </cfRule>
    <cfRule type="cellIs" dxfId="168" priority="166" operator="equal">
      <formula>0</formula>
    </cfRule>
    <cfRule type="cellIs" dxfId="167" priority="167" operator="equal">
      <formula>" -   "</formula>
    </cfRule>
  </conditionalFormatting>
  <conditionalFormatting sqref="AL18">
    <cfRule type="cellIs" dxfId="166" priority="168" operator="equal">
      <formula>1</formula>
    </cfRule>
    <cfRule type="cellIs" dxfId="165" priority="169" operator="equal">
      <formula>0</formula>
    </cfRule>
    <cfRule type="cellIs" dxfId="164" priority="170" operator="equal">
      <formula>" -   "</formula>
    </cfRule>
  </conditionalFormatting>
  <conditionalFormatting sqref="AT18">
    <cfRule type="cellIs" dxfId="163" priority="162" operator="equal">
      <formula>1</formula>
    </cfRule>
    <cfRule type="cellIs" dxfId="162" priority="163" operator="equal">
      <formula>0</formula>
    </cfRule>
    <cfRule type="cellIs" dxfId="161" priority="164" operator="equal">
      <formula>" -   "</formula>
    </cfRule>
  </conditionalFormatting>
  <conditionalFormatting sqref="AA22">
    <cfRule type="cellIs" dxfId="160" priority="160" operator="equal">
      <formula>0</formula>
    </cfRule>
    <cfRule type="cellIs" dxfId="159" priority="161" operator="equal">
      <formula>" -   "</formula>
    </cfRule>
  </conditionalFormatting>
  <conditionalFormatting sqref="AL21">
    <cfRule type="cellIs" dxfId="158" priority="157" operator="equal">
      <formula>1</formula>
    </cfRule>
    <cfRule type="cellIs" dxfId="157" priority="158" operator="equal">
      <formula>0</formula>
    </cfRule>
    <cfRule type="cellIs" dxfId="156" priority="159" operator="equal">
      <formula>" -   "</formula>
    </cfRule>
  </conditionalFormatting>
  <conditionalFormatting sqref="AT21">
    <cfRule type="cellIs" dxfId="155" priority="151" operator="equal">
      <formula>1</formula>
    </cfRule>
    <cfRule type="cellIs" dxfId="154" priority="152" operator="equal">
      <formula>0</formula>
    </cfRule>
    <cfRule type="cellIs" dxfId="153" priority="153" operator="equal">
      <formula>" -   "</formula>
    </cfRule>
  </conditionalFormatting>
  <conditionalFormatting sqref="AJ21">
    <cfRule type="cellIs" dxfId="152" priority="154" operator="equal">
      <formula>1</formula>
    </cfRule>
    <cfRule type="cellIs" dxfId="151" priority="155" operator="equal">
      <formula>0</formula>
    </cfRule>
    <cfRule type="cellIs" dxfId="150" priority="156" operator="equal">
      <formula>" -   "</formula>
    </cfRule>
  </conditionalFormatting>
  <conditionalFormatting sqref="S29">
    <cfRule type="cellIs" dxfId="149" priority="149" operator="equal">
      <formula>0</formula>
    </cfRule>
    <cfRule type="cellIs" dxfId="148" priority="150" operator="equal">
      <formula>" -   "</formula>
    </cfRule>
  </conditionalFormatting>
  <conditionalFormatting sqref="AN35">
    <cfRule type="cellIs" dxfId="147" priority="143" operator="equal">
      <formula>1</formula>
    </cfRule>
    <cfRule type="cellIs" dxfId="146" priority="144" operator="equal">
      <formula>0</formula>
    </cfRule>
    <cfRule type="cellIs" dxfId="145" priority="145" operator="equal">
      <formula>" -   "</formula>
    </cfRule>
  </conditionalFormatting>
  <conditionalFormatting sqref="AN28">
    <cfRule type="cellIs" dxfId="144" priority="146" operator="equal">
      <formula>1</formula>
    </cfRule>
    <cfRule type="cellIs" dxfId="143" priority="147" operator="equal">
      <formula>0</formula>
    </cfRule>
    <cfRule type="cellIs" dxfId="142" priority="148" operator="equal">
      <formula>" -   "</formula>
    </cfRule>
  </conditionalFormatting>
  <conditionalFormatting sqref="AN18">
    <cfRule type="cellIs" dxfId="141" priority="140" operator="equal">
      <formula>1</formula>
    </cfRule>
    <cfRule type="cellIs" dxfId="140" priority="141" operator="equal">
      <formula>0</formula>
    </cfRule>
    <cfRule type="cellIs" dxfId="139" priority="142" operator="equal">
      <formula>" -   "</formula>
    </cfRule>
  </conditionalFormatting>
  <conditionalFormatting sqref="AN21">
    <cfRule type="cellIs" dxfId="138" priority="137" operator="equal">
      <formula>1</formula>
    </cfRule>
    <cfRule type="cellIs" dxfId="137" priority="138" operator="equal">
      <formula>0</formula>
    </cfRule>
    <cfRule type="cellIs" dxfId="136" priority="139" operator="equal">
      <formula>" -   "</formula>
    </cfRule>
  </conditionalFormatting>
  <conditionalFormatting sqref="AP35">
    <cfRule type="cellIs" dxfId="135" priority="131" operator="equal">
      <formula>1</formula>
    </cfRule>
    <cfRule type="cellIs" dxfId="134" priority="132" operator="equal">
      <formula>0</formula>
    </cfRule>
    <cfRule type="cellIs" dxfId="133" priority="133" operator="equal">
      <formula>" -   "</formula>
    </cfRule>
  </conditionalFormatting>
  <conditionalFormatting sqref="AP28">
    <cfRule type="cellIs" dxfId="132" priority="134" operator="equal">
      <formula>1</formula>
    </cfRule>
    <cfRule type="cellIs" dxfId="131" priority="135" operator="equal">
      <formula>0</formula>
    </cfRule>
    <cfRule type="cellIs" dxfId="130" priority="136" operator="equal">
      <formula>" -   "</formula>
    </cfRule>
  </conditionalFormatting>
  <conditionalFormatting sqref="AP18">
    <cfRule type="cellIs" dxfId="129" priority="128" operator="equal">
      <formula>1</formula>
    </cfRule>
    <cfRule type="cellIs" dxfId="128" priority="129" operator="equal">
      <formula>0</formula>
    </cfRule>
    <cfRule type="cellIs" dxfId="127" priority="130" operator="equal">
      <formula>" -   "</formula>
    </cfRule>
  </conditionalFormatting>
  <conditionalFormatting sqref="AP21">
    <cfRule type="cellIs" dxfId="126" priority="125" operator="equal">
      <formula>1</formula>
    </cfRule>
    <cfRule type="cellIs" dxfId="125" priority="126" operator="equal">
      <formula>0</formula>
    </cfRule>
    <cfRule type="cellIs" dxfId="124" priority="127" operator="equal">
      <formula>" -   "</formula>
    </cfRule>
  </conditionalFormatting>
  <conditionalFormatting sqref="AR35">
    <cfRule type="cellIs" dxfId="123" priority="119" operator="equal">
      <formula>1</formula>
    </cfRule>
    <cfRule type="cellIs" dxfId="122" priority="120" operator="equal">
      <formula>0</formula>
    </cfRule>
    <cfRule type="cellIs" dxfId="121" priority="121" operator="equal">
      <formula>" -   "</formula>
    </cfRule>
  </conditionalFormatting>
  <conditionalFormatting sqref="AR28">
    <cfRule type="cellIs" dxfId="120" priority="122" operator="equal">
      <formula>1</formula>
    </cfRule>
    <cfRule type="cellIs" dxfId="119" priority="123" operator="equal">
      <formula>0</formula>
    </cfRule>
    <cfRule type="cellIs" dxfId="118" priority="124" operator="equal">
      <formula>" -   "</formula>
    </cfRule>
  </conditionalFormatting>
  <conditionalFormatting sqref="AR18">
    <cfRule type="cellIs" dxfId="117" priority="116" operator="equal">
      <formula>1</formula>
    </cfRule>
    <cfRule type="cellIs" dxfId="116" priority="117" operator="equal">
      <formula>0</formula>
    </cfRule>
    <cfRule type="cellIs" dxfId="115" priority="118" operator="equal">
      <formula>" -   "</formula>
    </cfRule>
  </conditionalFormatting>
  <conditionalFormatting sqref="AR21">
    <cfRule type="cellIs" dxfId="114" priority="113" operator="equal">
      <formula>1</formula>
    </cfRule>
    <cfRule type="cellIs" dxfId="113" priority="114" operator="equal">
      <formula>0</formula>
    </cfRule>
    <cfRule type="cellIs" dxfId="112" priority="115" operator="equal">
      <formula>" -   "</formula>
    </cfRule>
  </conditionalFormatting>
  <conditionalFormatting sqref="AV28">
    <cfRule type="cellIs" dxfId="111" priority="110" operator="equal">
      <formula>1</formula>
    </cfRule>
    <cfRule type="cellIs" dxfId="110" priority="111" operator="equal">
      <formula>0</formula>
    </cfRule>
    <cfRule type="cellIs" dxfId="109" priority="112" operator="equal">
      <formula>" -   "</formula>
    </cfRule>
  </conditionalFormatting>
  <conditionalFormatting sqref="AV18">
    <cfRule type="cellIs" dxfId="108" priority="107" operator="equal">
      <formula>1</formula>
    </cfRule>
    <cfRule type="cellIs" dxfId="107" priority="108" operator="equal">
      <formula>0</formula>
    </cfRule>
    <cfRule type="cellIs" dxfId="106" priority="109" operator="equal">
      <formula>" -   "</formula>
    </cfRule>
  </conditionalFormatting>
  <conditionalFormatting sqref="BF28">
    <cfRule type="cellIs" dxfId="105" priority="80" operator="equal">
      <formula>1</formula>
    </cfRule>
    <cfRule type="cellIs" dxfId="104" priority="81" operator="equal">
      <formula>0</formula>
    </cfRule>
    <cfRule type="cellIs" dxfId="103" priority="82" operator="equal">
      <formula>" -   "</formula>
    </cfRule>
  </conditionalFormatting>
  <conditionalFormatting sqref="AX28">
    <cfRule type="cellIs" dxfId="102" priority="104" operator="equal">
      <formula>1</formula>
    </cfRule>
    <cfRule type="cellIs" dxfId="101" priority="105" operator="equal">
      <formula>0</formula>
    </cfRule>
    <cfRule type="cellIs" dxfId="100" priority="106" operator="equal">
      <formula>" -   "</formula>
    </cfRule>
  </conditionalFormatting>
  <conditionalFormatting sqref="AX18">
    <cfRule type="cellIs" dxfId="99" priority="101" operator="equal">
      <formula>1</formula>
    </cfRule>
    <cfRule type="cellIs" dxfId="98" priority="102" operator="equal">
      <formula>0</formula>
    </cfRule>
    <cfRule type="cellIs" dxfId="97" priority="103" operator="equal">
      <formula>" -   "</formula>
    </cfRule>
  </conditionalFormatting>
  <conditionalFormatting sqref="BF18">
    <cfRule type="cellIs" dxfId="96" priority="77" operator="equal">
      <formula>1</formula>
    </cfRule>
    <cfRule type="cellIs" dxfId="95" priority="78" operator="equal">
      <formula>0</formula>
    </cfRule>
    <cfRule type="cellIs" dxfId="94" priority="79" operator="equal">
      <formula>" -   "</formula>
    </cfRule>
  </conditionalFormatting>
  <conditionalFormatting sqref="AZ28">
    <cfRule type="cellIs" dxfId="93" priority="98" operator="equal">
      <formula>1</formula>
    </cfRule>
    <cfRule type="cellIs" dxfId="92" priority="99" operator="equal">
      <formula>0</formula>
    </cfRule>
    <cfRule type="cellIs" dxfId="91" priority="100" operator="equal">
      <formula>" -   "</formula>
    </cfRule>
  </conditionalFormatting>
  <conditionalFormatting sqref="AZ18">
    <cfRule type="cellIs" dxfId="90" priority="95" operator="equal">
      <formula>1</formula>
    </cfRule>
    <cfRule type="cellIs" dxfId="89" priority="96" operator="equal">
      <formula>0</formula>
    </cfRule>
    <cfRule type="cellIs" dxfId="88" priority="97" operator="equal">
      <formula>" -   "</formula>
    </cfRule>
  </conditionalFormatting>
  <conditionalFormatting sqref="BH28">
    <cfRule type="cellIs" dxfId="87" priority="74" operator="equal">
      <formula>1</formula>
    </cfRule>
    <cfRule type="cellIs" dxfId="86" priority="75" operator="equal">
      <formula>0</formula>
    </cfRule>
    <cfRule type="cellIs" dxfId="85" priority="76" operator="equal">
      <formula>" -   "</formula>
    </cfRule>
  </conditionalFormatting>
  <conditionalFormatting sqref="BB28">
    <cfRule type="cellIs" dxfId="84" priority="92" operator="equal">
      <formula>1</formula>
    </cfRule>
    <cfRule type="cellIs" dxfId="83" priority="93" operator="equal">
      <formula>0</formula>
    </cfRule>
    <cfRule type="cellIs" dxfId="82" priority="94" operator="equal">
      <formula>" -   "</formula>
    </cfRule>
  </conditionalFormatting>
  <conditionalFormatting sqref="BB18">
    <cfRule type="cellIs" dxfId="81" priority="89" operator="equal">
      <formula>1</formula>
    </cfRule>
    <cfRule type="cellIs" dxfId="80" priority="90" operator="equal">
      <formula>0</formula>
    </cfRule>
    <cfRule type="cellIs" dxfId="79" priority="91" operator="equal">
      <formula>" -   "</formula>
    </cfRule>
  </conditionalFormatting>
  <conditionalFormatting sqref="BH18">
    <cfRule type="cellIs" dxfId="78" priority="71" operator="equal">
      <formula>1</formula>
    </cfRule>
    <cfRule type="cellIs" dxfId="77" priority="72" operator="equal">
      <formula>0</formula>
    </cfRule>
    <cfRule type="cellIs" dxfId="76" priority="73" operator="equal">
      <formula>" -   "</formula>
    </cfRule>
  </conditionalFormatting>
  <conditionalFormatting sqref="BD28">
    <cfRule type="cellIs" dxfId="75" priority="86" operator="equal">
      <formula>1</formula>
    </cfRule>
    <cfRule type="cellIs" dxfId="74" priority="87" operator="equal">
      <formula>0</formula>
    </cfRule>
    <cfRule type="cellIs" dxfId="73" priority="88" operator="equal">
      <formula>" -   "</formula>
    </cfRule>
  </conditionalFormatting>
  <conditionalFormatting sqref="BD18">
    <cfRule type="cellIs" dxfId="72" priority="83" operator="equal">
      <formula>1</formula>
    </cfRule>
    <cfRule type="cellIs" dxfId="71" priority="84" operator="equal">
      <formula>0</formula>
    </cfRule>
    <cfRule type="cellIs" dxfId="70" priority="85" operator="equal">
      <formula>" -   "</formula>
    </cfRule>
  </conditionalFormatting>
  <conditionalFormatting sqref="BJ28">
    <cfRule type="cellIs" dxfId="69" priority="68" operator="equal">
      <formula>1</formula>
    </cfRule>
    <cfRule type="cellIs" dxfId="68" priority="69" operator="equal">
      <formula>0</formula>
    </cfRule>
    <cfRule type="cellIs" dxfId="67" priority="70" operator="equal">
      <formula>" -   "</formula>
    </cfRule>
  </conditionalFormatting>
  <conditionalFormatting sqref="BJ18">
    <cfRule type="cellIs" dxfId="66" priority="65" operator="equal">
      <formula>1</formula>
    </cfRule>
    <cfRule type="cellIs" dxfId="65" priority="66" operator="equal">
      <formula>0</formula>
    </cfRule>
    <cfRule type="cellIs" dxfId="64" priority="67" operator="equal">
      <formula>" -   "</formula>
    </cfRule>
  </conditionalFormatting>
  <conditionalFormatting sqref="BL28">
    <cfRule type="cellIs" dxfId="63" priority="62" operator="equal">
      <formula>1</formula>
    </cfRule>
    <cfRule type="cellIs" dxfId="62" priority="63" operator="equal">
      <formula>0</formula>
    </cfRule>
    <cfRule type="cellIs" dxfId="61" priority="64" operator="equal">
      <formula>" -   "</formula>
    </cfRule>
  </conditionalFormatting>
  <conditionalFormatting sqref="BL18">
    <cfRule type="cellIs" dxfId="60" priority="59" operator="equal">
      <formula>1</formula>
    </cfRule>
    <cfRule type="cellIs" dxfId="59" priority="60" operator="equal">
      <formula>0</formula>
    </cfRule>
    <cfRule type="cellIs" dxfId="58" priority="61" operator="equal">
      <formula>" -   "</formula>
    </cfRule>
  </conditionalFormatting>
  <conditionalFormatting sqref="AV35">
    <cfRule type="cellIs" dxfId="57" priority="56" operator="equal">
      <formula>1</formula>
    </cfRule>
    <cfRule type="cellIs" dxfId="56" priority="57" operator="equal">
      <formula>0</formula>
    </cfRule>
    <cfRule type="cellIs" dxfId="55" priority="58" operator="equal">
      <formula>" -   "</formula>
    </cfRule>
  </conditionalFormatting>
  <conditionalFormatting sqref="BL21">
    <cfRule type="cellIs" dxfId="54" priority="5" operator="equal">
      <formula>1</formula>
    </cfRule>
    <cfRule type="cellIs" dxfId="53" priority="6" operator="equal">
      <formula>0</formula>
    </cfRule>
    <cfRule type="cellIs" dxfId="52" priority="7" operator="equal">
      <formula>" -   "</formula>
    </cfRule>
  </conditionalFormatting>
  <conditionalFormatting sqref="AV21">
    <cfRule type="cellIs" dxfId="51" priority="53" operator="equal">
      <formula>1</formula>
    </cfRule>
    <cfRule type="cellIs" dxfId="50" priority="54" operator="equal">
      <formula>0</formula>
    </cfRule>
    <cfRule type="cellIs" dxfId="49" priority="55" operator="equal">
      <formula>" -   "</formula>
    </cfRule>
  </conditionalFormatting>
  <conditionalFormatting sqref="AX35">
    <cfRule type="cellIs" dxfId="48" priority="50" operator="equal">
      <formula>1</formula>
    </cfRule>
    <cfRule type="cellIs" dxfId="47" priority="51" operator="equal">
      <formula>0</formula>
    </cfRule>
    <cfRule type="cellIs" dxfId="46" priority="52" operator="equal">
      <formula>" -   "</formula>
    </cfRule>
  </conditionalFormatting>
  <conditionalFormatting sqref="AX21">
    <cfRule type="cellIs" dxfId="45" priority="47" operator="equal">
      <formula>1</formula>
    </cfRule>
    <cfRule type="cellIs" dxfId="44" priority="48" operator="equal">
      <formula>0</formula>
    </cfRule>
    <cfRule type="cellIs" dxfId="43" priority="49" operator="equal">
      <formula>" -   "</formula>
    </cfRule>
  </conditionalFormatting>
  <conditionalFormatting sqref="AZ35">
    <cfRule type="cellIs" dxfId="42" priority="44" operator="equal">
      <formula>1</formula>
    </cfRule>
    <cfRule type="cellIs" dxfId="41" priority="45" operator="equal">
      <formula>0</formula>
    </cfRule>
    <cfRule type="cellIs" dxfId="40" priority="46" operator="equal">
      <formula>" -   "</formula>
    </cfRule>
  </conditionalFormatting>
  <conditionalFormatting sqref="AZ21">
    <cfRule type="cellIs" dxfId="39" priority="41" operator="equal">
      <formula>1</formula>
    </cfRule>
    <cfRule type="cellIs" dxfId="38" priority="42" operator="equal">
      <formula>0</formula>
    </cfRule>
    <cfRule type="cellIs" dxfId="37" priority="43" operator="equal">
      <formula>" -   "</formula>
    </cfRule>
  </conditionalFormatting>
  <conditionalFormatting sqref="BB35">
    <cfRule type="cellIs" dxfId="36" priority="38" operator="equal">
      <formula>1</formula>
    </cfRule>
    <cfRule type="cellIs" dxfId="35" priority="39" operator="equal">
      <formula>0</formula>
    </cfRule>
    <cfRule type="cellIs" dxfId="34" priority="40" operator="equal">
      <formula>" -   "</formula>
    </cfRule>
  </conditionalFormatting>
  <conditionalFormatting sqref="BB21">
    <cfRule type="cellIs" dxfId="33" priority="35" operator="equal">
      <formula>1</formula>
    </cfRule>
    <cfRule type="cellIs" dxfId="32" priority="36" operator="equal">
      <formula>0</formula>
    </cfRule>
    <cfRule type="cellIs" dxfId="31" priority="37" operator="equal">
      <formula>" -   "</formula>
    </cfRule>
  </conditionalFormatting>
  <conditionalFormatting sqref="BD35">
    <cfRule type="cellIs" dxfId="30" priority="32" operator="equal">
      <formula>1</formula>
    </cfRule>
    <cfRule type="cellIs" dxfId="29" priority="33" operator="equal">
      <formula>0</formula>
    </cfRule>
    <cfRule type="cellIs" dxfId="28" priority="34" operator="equal">
      <formula>" -   "</formula>
    </cfRule>
  </conditionalFormatting>
  <conditionalFormatting sqref="BD21">
    <cfRule type="cellIs" dxfId="27" priority="29" operator="equal">
      <formula>1</formula>
    </cfRule>
    <cfRule type="cellIs" dxfId="26" priority="30" operator="equal">
      <formula>0</formula>
    </cfRule>
    <cfRule type="cellIs" dxfId="25" priority="31" operator="equal">
      <formula>" -   "</formula>
    </cfRule>
  </conditionalFormatting>
  <conditionalFormatting sqref="BF35">
    <cfRule type="cellIs" dxfId="24" priority="26" operator="equal">
      <formula>1</formula>
    </cfRule>
    <cfRule type="cellIs" dxfId="23" priority="27" operator="equal">
      <formula>0</formula>
    </cfRule>
    <cfRule type="cellIs" dxfId="22" priority="28" operator="equal">
      <formula>" -   "</formula>
    </cfRule>
  </conditionalFormatting>
  <conditionalFormatting sqref="BF21">
    <cfRule type="cellIs" dxfId="21" priority="23" operator="equal">
      <formula>1</formula>
    </cfRule>
    <cfRule type="cellIs" dxfId="20" priority="24" operator="equal">
      <formula>0</formula>
    </cfRule>
    <cfRule type="cellIs" dxfId="19" priority="25" operator="equal">
      <formula>" -   "</formula>
    </cfRule>
  </conditionalFormatting>
  <conditionalFormatting sqref="BH35">
    <cfRule type="cellIs" dxfId="18" priority="20" operator="equal">
      <formula>1</formula>
    </cfRule>
    <cfRule type="cellIs" dxfId="17" priority="21" operator="equal">
      <formula>0</formula>
    </cfRule>
    <cfRule type="cellIs" dxfId="16" priority="22" operator="equal">
      <formula>" -   "</formula>
    </cfRule>
  </conditionalFormatting>
  <conditionalFormatting sqref="BH21">
    <cfRule type="cellIs" dxfId="15" priority="17" operator="equal">
      <formula>1</formula>
    </cfRule>
    <cfRule type="cellIs" dxfId="14" priority="18" operator="equal">
      <formula>0</formula>
    </cfRule>
    <cfRule type="cellIs" dxfId="13" priority="19" operator="equal">
      <formula>" -   "</formula>
    </cfRule>
  </conditionalFormatting>
  <conditionalFormatting sqref="BJ35">
    <cfRule type="cellIs" dxfId="12" priority="14" operator="equal">
      <formula>1</formula>
    </cfRule>
    <cfRule type="cellIs" dxfId="11" priority="15" operator="equal">
      <formula>0</formula>
    </cfRule>
    <cfRule type="cellIs" dxfId="10" priority="16" operator="equal">
      <formula>" -   "</formula>
    </cfRule>
  </conditionalFormatting>
  <conditionalFormatting sqref="BJ21">
    <cfRule type="cellIs" dxfId="9" priority="11" operator="equal">
      <formula>1</formula>
    </cfRule>
    <cfRule type="cellIs" dxfId="8" priority="12" operator="equal">
      <formula>0</formula>
    </cfRule>
    <cfRule type="cellIs" dxfId="7" priority="13" operator="equal">
      <formula>" -   "</formula>
    </cfRule>
  </conditionalFormatting>
  <conditionalFormatting sqref="BL35">
    <cfRule type="cellIs" dxfId="6" priority="8" operator="equal">
      <formula>1</formula>
    </cfRule>
    <cfRule type="cellIs" dxfId="5" priority="9" operator="equal">
      <formula>0</formula>
    </cfRule>
    <cfRule type="cellIs" dxfId="4" priority="10" operator="equal">
      <formula>" -   "</formula>
    </cfRule>
  </conditionalFormatting>
  <conditionalFormatting sqref="L29">
    <cfRule type="cellIs" dxfId="3" priority="3" operator="equal">
      <formula>0</formula>
    </cfRule>
    <cfRule type="cellIs" dxfId="2" priority="4" operator="equal">
      <formula>" -   "</formula>
    </cfRule>
  </conditionalFormatting>
  <conditionalFormatting sqref="E29">
    <cfRule type="cellIs" dxfId="1" priority="1" operator="equal">
      <formula>0</formula>
    </cfRule>
    <cfRule type="cellIs" dxfId="0" priority="2" operator="equal">
      <formula>" -   "</formula>
    </cfRule>
  </conditionalFormatting>
  <printOptions horizontalCentered="1" headings="1"/>
  <pageMargins left="0.25" right="0.25" top="0.75" bottom="0.75" header="0.3" footer="0.3"/>
  <pageSetup paperSize="17" scale="75" fitToWidth="2" orientation="landscape" r:id="rId1"/>
  <headerFooter>
    <oddHeader>&amp;C&amp;"-,Bold"&amp;14&amp;F[&amp;A]</oddHeader>
    <oddFooter>&amp;L&amp;9Proceeding 790 – Loss Factor Rule Complaints – AESO Q2 2016 Update
&amp;Z&amp;F&amp;C&amp;9Page &amp;P of &amp;N
&amp;R&amp;9Public
July 15, 2016</oddFooter>
  </headerFooter>
  <colBreaks count="1" manualBreakCount="1">
    <brk id="33" max="6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filing Document" ma:contentTypeID="0x010100DB7D67ABFDCD8849AA1AB921D07E8AB400F970EA4546B2C943BDBACC5912F40B79" ma:contentTypeVersion="0" ma:contentTypeDescription="Efiling Document" ma:contentTypeScope="" ma:versionID="abb276545cfeb7031ade2a33ae7a2a03">
  <xsd:schema xmlns:xsd="http://www.w3.org/2001/XMLSchema" xmlns:xs="http://www.w3.org/2001/XMLSchema" xmlns:p="http://schemas.microsoft.com/office/2006/metadata/properties" xmlns:ns2="24b4dc9c-985f-4b06-881b-10995db5cfc7" targetNamespace="http://schemas.microsoft.com/office/2006/metadata/properties" ma:root="true" ma:fieldsID="14221d2d0a482a9509fd5ee77a5510c9" ns2:_="">
    <xsd:import namespace="24b4dc9c-985f-4b06-881b-10995db5cfc7"/>
    <xsd:element name="properties">
      <xsd:complexType>
        <xsd:sequence>
          <xsd:element name="documentManagement">
            <xsd:complexType>
              <xsd:all>
                <xsd:element ref="ns2:DocumentStatus" minOccurs="0"/>
                <xsd:element ref="ns2:DocumentTypeTemp" minOccurs="0"/>
                <xsd:element ref="ns2:SubmittingPCE" minOccurs="0"/>
                <xsd:element ref="ns2:AUCFileName" minOccurs="0"/>
                <xsd:element ref="ns2:ExhibitNumberTemp" minOccurs="0"/>
                <xsd:element ref="ns2:OnBehalfOf" minOccurs="0"/>
                <xsd:element ref="ns2:DocumentDescription" minOccurs="0"/>
                <xsd:element ref="ns2:Applications" minOccurs="0"/>
                <xsd:element ref="ns2:ApplicationsTemp" minOccurs="0"/>
                <xsd:element ref="ns2:ActionInternal" minOccurs="0"/>
                <xsd:element ref="ns2:ActionExternal" minOccurs="0"/>
                <xsd:element ref="ns2:AucDocumentId" minOccurs="0"/>
                <xsd:element ref="ns2:OriginalFilename" minOccurs="0"/>
                <xsd:element ref="ns2:DocumentCategory" minOccurs="0"/>
                <xsd:element ref="ns2:fae381d0f82a490fb5506f8d60dd7e7c" minOccurs="0"/>
                <xsd:element ref="ns2:TaxCatchAll" minOccurs="0"/>
                <xsd:element ref="ns2:TaxCatchAllLabel" minOccurs="0"/>
                <xsd:element ref="ns2:DispositionNumber" minOccurs="0"/>
                <xsd:element ref="ns2:IsLate" minOccurs="0"/>
                <xsd:element ref="ns2:SubmissionNumber" minOccurs="0"/>
                <xsd:element ref="ns2:CommentsAd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4dc9c-985f-4b06-881b-10995db5cfc7" elementFormDefault="qualified">
    <xsd:import namespace="http://schemas.microsoft.com/office/2006/documentManagement/types"/>
    <xsd:import namespace="http://schemas.microsoft.com/office/infopath/2007/PartnerControls"/>
    <xsd:element name="DocumentStatus" ma:index="2" nillable="true" ma:displayName="Document Status" ma:internalName="DocumentStatus" ma:readOnly="false">
      <xsd:simpleType>
        <xsd:restriction base="dms:Text">
          <xsd:maxLength value="255"/>
        </xsd:restriction>
      </xsd:simpleType>
    </xsd:element>
    <xsd:element name="DocumentTypeTemp" ma:index="3" nillable="true" ma:displayName="Document Type" ma:internalName="DocumentTypeTemp" ma:readOnly="false">
      <xsd:simpleType>
        <xsd:restriction base="dms:Text">
          <xsd:maxLength value="255"/>
        </xsd:restriction>
      </xsd:simpleType>
    </xsd:element>
    <xsd:element name="SubmittingPCE" ma:index="4" nillable="true" ma:displayName="Submitter" ma:internalName="SubmittingPCE" ma:readOnly="false">
      <xsd:simpleType>
        <xsd:restriction base="dms:Text">
          <xsd:maxLength value="255"/>
        </xsd:restriction>
      </xsd:simpleType>
    </xsd:element>
    <xsd:element name="AUCFileName" ma:index="5" nillable="true" ma:displayName="File Name" ma:internalName="AUCFileName" ma:readOnly="false">
      <xsd:simpleType>
        <xsd:restriction base="dms:Text">
          <xsd:maxLength value="255"/>
        </xsd:restriction>
      </xsd:simpleType>
    </xsd:element>
    <xsd:element name="ExhibitNumberTemp" ma:index="6" nillable="true" ma:displayName="Exhibit Number" ma:internalName="ExhibitNumberTemp" ma:readOnly="false">
      <xsd:simpleType>
        <xsd:restriction base="dms:Text">
          <xsd:maxLength value="255"/>
        </xsd:restriction>
      </xsd:simpleType>
    </xsd:element>
    <xsd:element name="OnBehalfOf" ma:index="8" nillable="true" ma:displayName="On Behalf Of" ma:internalName="OnBehalfOf" ma:readOnly="false">
      <xsd:simpleType>
        <xsd:restriction base="dms:Text">
          <xsd:maxLength value="255"/>
        </xsd:restriction>
      </xsd:simpleType>
    </xsd:element>
    <xsd:element name="DocumentDescription" ma:index="9" nillable="true" ma:displayName="Document Description" ma:description="Document Description" ma:internalName="DocumentDescription" ma:readOnly="false">
      <xsd:simpleType>
        <xsd:restriction base="dms:Text">
          <xsd:maxLength value="255"/>
        </xsd:restriction>
      </xsd:simpleType>
    </xsd:element>
    <xsd:element name="Applications" ma:index="10" nillable="true" ma:displayName="Applications" ma:description="Display column for applications. This will show either a single application (i.e. 12345) or, if there are more than one applications, it will show literally: Multiple" ma:internalName="Applications" ma:readOnly="false">
      <xsd:simpleType>
        <xsd:restriction base="dms:Unknown"/>
      </xsd:simpleType>
    </xsd:element>
    <xsd:element name="ApplicationsTemp" ma:index="11" nillable="true" ma:displayName="ApplicationsTemp" ma:description="The Applications column that stores the actual data: 1234; 1235; 1236; 1237" ma:internalName="ApplicationsTemp">
      <xsd:simpleType>
        <xsd:restriction base="dms:Note"/>
      </xsd:simpleType>
    </xsd:element>
    <xsd:element name="ActionInternal" ma:index="12" nillable="true" ma:displayName="Actions" ma:description="Internal Actions" ma:internalName="ActionInternal" ma:readOnly="false">
      <xsd:simpleType>
        <xsd:restriction base="dms:Unknown"/>
      </xsd:simpleType>
    </xsd:element>
    <xsd:element name="ActionExternal" ma:index="13" nillable="true" ma:displayName="Actions" ma:description="External Actions" ma:internalName="ActionExternal" ma:readOnly="false">
      <xsd:simpleType>
        <xsd:restriction base="dms:Unknown"/>
      </xsd:simpleType>
    </xsd:element>
    <xsd:element name="AucDocumentId" ma:index="14" nillable="true" ma:displayName="Auc Document Id" ma:decimals="0" ma:internalName="AucDocumentId" ma:readOnly="false" ma:percentage="FALSE">
      <xsd:simpleType>
        <xsd:restriction base="dms:Number"/>
      </xsd:simpleType>
    </xsd:element>
    <xsd:element name="OriginalFilename" ma:index="15" nillable="true" ma:displayName="Original Filename" ma:internalName="OriginalFilename" ma:readOnly="false">
      <xsd:simpleType>
        <xsd:restriction base="dms:Text">
          <xsd:maxLength value="255"/>
        </xsd:restriction>
      </xsd:simpleType>
    </xsd:element>
    <xsd:element name="DocumentCategory" ma:index="16" nillable="true" ma:displayName="Document Category" ma:internalName="DocumentCategory" ma:readOnly="false">
      <xsd:simpleType>
        <xsd:restriction base="dms:Text">
          <xsd:maxLength value="255"/>
        </xsd:restriction>
      </xsd:simpleType>
    </xsd:element>
    <xsd:element name="fae381d0f82a490fb5506f8d60dd7e7c" ma:index="20" nillable="true" ma:taxonomy="true" ma:internalName="fae381d0f82a490fb5506f8d60dd7e7c" ma:taxonomyFieldName="DocumentType" ma:displayName="Document Type T" ma:readOnly="false" ma:default="" ma:fieldId="{fae381d0-f82a-490f-b550-6f8d60dd7e7c}" ma:sspId="6c23b51e-d80b-4046-afb2-9ff134a364c0" ma:termSetId="3fb79734-db6e-4006-89c4-022732ca679c"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3670a948-5fcd-4d19-9774-48f88d2d410b}" ma:internalName="TaxCatchAll" ma:showField="CatchAllData" ma:web="6ba16a15-6894-445e-9527-afbf7aaf606b">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3670a948-5fcd-4d19-9774-48f88d2d410b}" ma:internalName="TaxCatchAllLabel" ma:readOnly="true" ma:showField="CatchAllDataLabel" ma:web="6ba16a15-6894-445e-9527-afbf7aaf606b">
      <xsd:complexType>
        <xsd:complexContent>
          <xsd:extension base="dms:MultiChoiceLookup">
            <xsd:sequence>
              <xsd:element name="Value" type="dms:Lookup" maxOccurs="unbounded" minOccurs="0" nillable="true"/>
            </xsd:sequence>
          </xsd:extension>
        </xsd:complexContent>
      </xsd:complexType>
    </xsd:element>
    <xsd:element name="DispositionNumber" ma:index="26" nillable="true" ma:displayName="DispositionNumber" ma:description="Disposition Number of a document" ma:internalName="DispositionNumber">
      <xsd:simpleType>
        <xsd:restriction base="dms:Text">
          <xsd:maxLength value="255"/>
        </xsd:restriction>
      </xsd:simpleType>
    </xsd:element>
    <xsd:element name="IsLate" ma:index="27" nillable="true" ma:displayName="IsLate" ma:default="0" ma:internalName="IsLate">
      <xsd:simpleType>
        <xsd:restriction base="dms:Boolean"/>
      </xsd:simpleType>
    </xsd:element>
    <xsd:element name="SubmissionNumber" ma:index="28" nillable="true" ma:displayName="Submission Number" ma:internalName="SubmissionNumber">
      <xsd:simpleType>
        <xsd:restriction base="dms:Text">
          <xsd:maxLength value="255"/>
        </xsd:restriction>
      </xsd:simpleType>
    </xsd:element>
    <xsd:element name="CommentsAdded" ma:index="29" nillable="true" ma:displayName="CommentsAdded" ma:default="0" ma:description="Have internal comments been added to the document?" ma:internalName="CommentsAdd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nBehalfOf xmlns="24b4dc9c-985f-4b06-881b-10995db5cfc7">2615991 CANADA LTD.</OnBehalfOf>
    <DocumentCategory xmlns="24b4dc9c-985f-4b06-881b-10995db5cfc7">Filing type</DocumentCategory>
    <SubmissionNumber xmlns="24b4dc9c-985f-4b06-881b-10995db5cfc7">790-F0071</SubmissionNumber>
    <SubmittingPCE xmlns="24b4dc9c-985f-4b06-881b-10995db5cfc7">Bennett Jones LLP</SubmittingPCE>
    <ActionInternal xmlns="24b4dc9c-985f-4b06-881b-10995db5cfc7" xsi:nil="true"/>
    <DocumentDescription xmlns="24b4dc9c-985f-4b06-881b-10995db5cfc7">ATCO Power Evidence - Spreadsheet - Excel</DocumentDescription>
    <CommentsAdded xmlns="24b4dc9c-985f-4b06-881b-10995db5cfc7">false</CommentsAdded>
    <ApplicationsTemp xmlns="24b4dc9c-985f-4b06-881b-10995db5cfc7" xsi:nil="true"/>
    <DispositionNumber xmlns="24b4dc9c-985f-4b06-881b-10995db5cfc7" xsi:nil="true"/>
    <DocumentTypeTemp xmlns="24b4dc9c-985f-4b06-881b-10995db5cfc7">Correspondence - external</DocumentTypeTemp>
    <AucDocumentId xmlns="24b4dc9c-985f-4b06-881b-10995db5cfc7">971</AucDocumentId>
    <AUCFileName xmlns="24b4dc9c-985f-4b06-881b-10995db5cfc7">ATCO Power - Evidence  - Spreadsheet - E_0971.xlsx</AUCFileName>
    <Applications xmlns="24b4dc9c-985f-4b06-881b-10995db5cfc7" xsi:nil="true"/>
    <DocumentStatus xmlns="24b4dc9c-985f-4b06-881b-10995db5cfc7">Active</DocumentStatus>
    <ExhibitNumberTemp xmlns="24b4dc9c-985f-4b06-881b-10995db5cfc7">790-X0073</ExhibitNumberTemp>
    <ActionExternal xmlns="24b4dc9c-985f-4b06-881b-10995db5cfc7" xsi:nil="true"/>
    <fae381d0f82a490fb5506f8d60dd7e7c xmlns="24b4dc9c-985f-4b06-881b-10995db5cfc7">
      <Terms xmlns="http://schemas.microsoft.com/office/infopath/2007/PartnerControls"/>
    </fae381d0f82a490fb5506f8d60dd7e7c>
    <IsLate xmlns="24b4dc9c-985f-4b06-881b-10995db5cfc7">false</IsLate>
    <OriginalFilename xmlns="24b4dc9c-985f-4b06-881b-10995db5cfc7">ATCO Power - Evidence  - Spreadsheet - Excel.xlsx</OriginalFilename>
    <TaxCatchAll xmlns="24b4dc9c-985f-4b06-881b-10995db5cfc7"/>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8cc58af-7463-4eed-b705-ece9e5e95e1f" ContentTypeId="0x010100DB7D67ABFDCD8849AA1AB921D07E8AB4" PreviousValue="false"/>
</file>

<file path=customXml/itemProps1.xml><?xml version="1.0" encoding="utf-8"?>
<ds:datastoreItem xmlns:ds="http://schemas.openxmlformats.org/officeDocument/2006/customXml" ds:itemID="{E87494D1-A507-4F34-B9EC-7F0E66455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4dc9c-985f-4b06-881b-10995db5c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3EC018-B4C2-45FA-8C46-45D073CD1C95}">
  <ds:schemaRefs>
    <ds:schemaRef ds:uri="http://www.w3.org/XML/1998/namespace"/>
    <ds:schemaRef ds:uri="http://schemas.microsoft.com/office/infopath/2007/PartnerControls"/>
    <ds:schemaRef ds:uri="http://purl.org/dc/elements/1.1/"/>
    <ds:schemaRef ds:uri="http://purl.org/dc/dcmitype/"/>
    <ds:schemaRef ds:uri="24b4dc9c-985f-4b06-881b-10995db5cfc7"/>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81ED938-E722-4BF9-9C82-88D95D51448A}">
  <ds:schemaRefs>
    <ds:schemaRef ds:uri="http://schemas.microsoft.com/sharepoint/v3/contenttype/forms"/>
  </ds:schemaRefs>
</ds:datastoreItem>
</file>

<file path=customXml/itemProps4.xml><?xml version="1.0" encoding="utf-8"?>
<ds:datastoreItem xmlns:ds="http://schemas.openxmlformats.org/officeDocument/2006/customXml" ds:itemID="{4BE8D004-4D8A-4525-9207-BE03C146243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Modified by AESO</vt:lpstr>
      <vt:lpstr>For Technical Meeting</vt:lpstr>
      <vt:lpstr>Provided by ATCO Power</vt:lpstr>
      <vt:lpstr>'Modified by AESO'!Print_Area</vt:lpstr>
      <vt:lpstr>'Provided by ATCO Power'!Print_Area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2016-07-15T17:57:33Z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0x010100DB7D67ABFDCD8849AA1AB921D07E8AB400F970EA4546B2C943BDBACC5912F40B79</vt:lpwstr>
  </property>
  <property fmtid="{D5CDD505-2E9C-101B-9397-08002B2CF9AE}" pid="3" name="Name">
    <vt:lpwstr>ATCO Power - Evidence  - Spreadsheet - E_0971.xlsx</vt:lpwstr>
  </property>
  <property fmtid="{D5CDD505-2E9C-101B-9397-08002B2CF9AE}" pid="4" name="DocumentType">
    <vt:lpwstr/>
  </property>
</Properties>
</file>